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461" windowWidth="17970" windowHeight="12690" tabRatio="891" activeTab="0"/>
  </bookViews>
  <sheets>
    <sheet name="Notes" sheetId="1" r:id="rId1"/>
    <sheet name="Core by Tons " sheetId="2" r:id="rId2"/>
    <sheet name="English Core" sheetId="3" r:id="rId3"/>
    <sheet name="Core by Tons - Blank Form" sheetId="4" r:id="rId4"/>
    <sheet name="English Core - Blank Form" sheetId="5" r:id="rId5"/>
    <sheet name="Core by Metric tons" sheetId="6" r:id="rId6"/>
    <sheet name="Metric Core " sheetId="7" r:id="rId7"/>
    <sheet name="CORE WKST" sheetId="8" r:id="rId8"/>
    <sheet name="BLANK CORE LOG" sheetId="9" r:id="rId9"/>
    <sheet name="Blank Core by Tons" sheetId="10" r:id="rId10"/>
    <sheet name="BLANKCORE WKST" sheetId="11" r:id="rId11"/>
    <sheet name="random numbers" sheetId="12" state="hidden" r:id="rId12"/>
  </sheets>
  <externalReferences>
    <externalReference r:id="rId15"/>
  </externalReferences>
  <definedNames>
    <definedName name="Begin_Station__Lane_LT">#REF!</definedName>
    <definedName name="Begin_Station__Lane_RT">#REF!</definedName>
    <definedName name="BLA">#REF!</definedName>
    <definedName name="BLB">#REF!</definedName>
    <definedName name="Date_Mix_Cored">#REF!</definedName>
    <definedName name="DMC">#REF!</definedName>
    <definedName name="ELA">#REF!</definedName>
    <definedName name="ELB">#REF!</definedName>
    <definedName name="End_Station__Lane_LT">#REF!</definedName>
    <definedName name="End_Station__Lane_RT">#REF!</definedName>
    <definedName name="Lane_Width_Paved">#REF!</definedName>
    <definedName name="LotDetermination">#REF!</definedName>
    <definedName name="LWP">#REF!</definedName>
    <definedName name="Minimum_Lots_Required">#REF!</definedName>
    <definedName name="Mix_Type" localSheetId="9">#REF!</definedName>
    <definedName name="Mix_Type" localSheetId="8">'BLANK CORE LOG'!$P$13</definedName>
    <definedName name="Mix_Type" localSheetId="4">'English Core - Blank Form'!$P$13</definedName>
    <definedName name="Mix_Type">'English Core'!$P$13</definedName>
    <definedName name="MLR">#REF!</definedName>
    <definedName name="_xlnm.Print_Area" localSheetId="9">'Blank Core by Tons'!$A$1:$P$46</definedName>
    <definedName name="_xlnm.Print_Area" localSheetId="8">'BLANK CORE LOG'!$C$2:$P$45</definedName>
    <definedName name="_xlnm.Print_Area" localSheetId="10">'BLANKCORE WKST'!$A$1:$O$42</definedName>
    <definedName name="_xlnm.Print_Area" localSheetId="5">'Core by Metric tons'!$C$3:$O$47</definedName>
    <definedName name="_xlnm.Print_Area" localSheetId="1">'Core by Tons '!$A$2:$U$54</definedName>
    <definedName name="_xlnm.Print_Area" localSheetId="3">'Core by Tons - Blank Form'!$A$2:$S$53</definedName>
    <definedName name="_xlnm.Print_Area" localSheetId="7">'CORE WKST'!$A$1:$O$42</definedName>
    <definedName name="_xlnm.Print_Area" localSheetId="2">'English Core'!$C$2:$S$53</definedName>
    <definedName name="_xlnm.Print_Area" localSheetId="4">'English Core - Blank Form'!$C$2:$S$53</definedName>
    <definedName name="_xlnm.Print_Area" localSheetId="6">'Metric Core '!$C$3:$P$53</definedName>
    <definedName name="Required_Lot_Length">#REF!</definedName>
    <definedName name="RLL">#REF!</definedName>
    <definedName name="SLA">#REF!</definedName>
    <definedName name="SLB">#REF!</definedName>
    <definedName name="Stations_Paved__Lane_RT">#REF!</definedName>
    <definedName name="Stations_Paved_Lane_LT">#REF!</definedName>
    <definedName name="Total_Stations_Paved">#REF!</definedName>
    <definedName name="Total_Tons_Paved">#REF!</definedName>
    <definedName name="TSP">#REF!</definedName>
    <definedName name="TTP">#REF!</definedName>
  </definedNames>
  <calcPr fullCalcOnLoad="1"/>
</workbook>
</file>

<file path=xl/comments2.xml><?xml version="1.0" encoding="utf-8"?>
<comments xmlns="http://schemas.openxmlformats.org/spreadsheetml/2006/main">
  <authors>
    <author>Deb Evans</author>
    <author> </author>
  </authors>
  <commentList>
    <comment ref="K11" authorId="0">
      <text>
        <r>
          <rPr>
            <sz val="8"/>
            <rFont val="Tahoma"/>
            <family val="0"/>
          </rPr>
          <t xml:space="preserve">
IF YOU PUT A C IN FOR
THE COMPANION THE WORD COMP WILL COME UP IN THE CELL
</t>
        </r>
      </text>
    </comment>
    <comment ref="F9" authorId="1">
      <text>
        <r>
          <rPr>
            <sz val="8"/>
            <rFont val="Tahoma"/>
            <family val="0"/>
          </rPr>
          <t xml:space="preserve">THIS IS NORMALLY LEFT BLANK.  IF YOU HAVE A  DIFFERENT NUMBER OF LOTS THAN THAT WHICH IS REQUIRED, THEN ENTER THE NUMBER OF LOTS YOU HAVE.
</t>
        </r>
      </text>
    </comment>
  </commentList>
</comments>
</file>

<file path=xl/comments3.xml><?xml version="1.0" encoding="utf-8"?>
<comments xmlns="http://schemas.openxmlformats.org/spreadsheetml/2006/main">
  <authors>
    <author>evan1deb</author>
    <author>Deb Evans</author>
    <author> </author>
  </authors>
  <commentList>
    <comment ref="P13" authorId="0">
      <text>
        <r>
          <rPr>
            <sz val="8"/>
            <rFont val="Tahoma"/>
            <family val="0"/>
          </rPr>
          <t xml:space="preserve">  MIX TYPES
LV - 3% AIR VOIDS, 91.5% REQUIRED DENSITY.               LV-R - LV"REDUCED" 1%, 90.5 % REQUIRED DENSITY         
 MV - 3.5%AIR VOIDS, 91.5% REQUIRED DENSITY. 
MV-R - MV"REDUCED" 1%, , 90.5% REQUIRED DENSITY         
 HV - 4% AIR VOIDS, 91.5% REQUIRED DENSITY.   
 HV-R - HV"REDUCED" 1%, 90.5% REQUIRED DENSITY
SPWE - 2360 WEAR, 4% AIR VOIDS, 92% DENSITY SPWE-R - 2360 WEAR, DENSITY REDUCED 1%,91% 
SPNW - 2360 NONWEAR,3% AIR VOIDS 93% DENS SPNW-R - 2360 NONWEAR REDUCED DENSITY 1%
</t>
        </r>
      </text>
    </comment>
    <comment ref="H8" authorId="0">
      <text>
        <r>
          <rPr>
            <b/>
            <sz val="10"/>
            <rFont val="Arial"/>
            <family val="2"/>
          </rPr>
          <t xml:space="preserve">When putting in values for
stationing do not add plus signs
</t>
        </r>
      </text>
    </comment>
    <comment ref="C25" authorId="1">
      <text>
        <r>
          <rPr>
            <sz val="8"/>
            <rFont val="Tahoma"/>
            <family val="0"/>
          </rPr>
          <t xml:space="preserve">START NUMBERING  THE LOTS AT THE BEGINNING OF THE JOB AND KEEP GOING.
EX:  FOR DAY 1 YOU HAVE LOTS 1-5 AND DAY 2 YOU START OUT AT 6. 
IT DOESN'T MATTER WHAT MIX YOU USE, YOU SHOULD NEVER HAVE ANY CORES WITH THE SAME NUMBERS.
</t>
        </r>
      </text>
    </comment>
    <comment ref="F22" authorId="1">
      <text>
        <r>
          <rPr>
            <sz val="8"/>
            <rFont val="Tahoma"/>
            <family val="0"/>
          </rPr>
          <t xml:space="preserve">IF YOU PUT A C IN FOR
THE COMPANION THE WORD COMP WILL COME UP IN THE CELL
</t>
        </r>
      </text>
    </comment>
    <comment ref="J20" authorId="2">
      <text>
        <r>
          <rPr>
            <b/>
            <sz val="8"/>
            <rFont val="Tahoma"/>
            <family val="0"/>
          </rPr>
          <t>THIS IS NORMALLY LEFT BLANK.  IF YOU HAVE A  DIFFERENT NUMBER OF LOTS THAN THAT WHICH IS REQUIRED, THEN ENTER THE NUMBER OF LOTS YOU HAVE.</t>
        </r>
      </text>
    </comment>
  </commentList>
</comments>
</file>

<file path=xl/comments4.xml><?xml version="1.0" encoding="utf-8"?>
<comments xmlns="http://schemas.openxmlformats.org/spreadsheetml/2006/main">
  <authors>
    <author>Deb Evans</author>
    <author> </author>
  </authors>
  <commentList>
    <comment ref="K11" authorId="0">
      <text>
        <r>
          <rPr>
            <sz val="8"/>
            <rFont val="Tahoma"/>
            <family val="0"/>
          </rPr>
          <t xml:space="preserve">
IF YOU PUT A C IN FOR
THE COMPANION THE WORD COMP WILL COME UP IN THE CELL
</t>
        </r>
      </text>
    </comment>
    <comment ref="F9" authorId="1">
      <text>
        <r>
          <rPr>
            <sz val="8"/>
            <rFont val="Tahoma"/>
            <family val="0"/>
          </rPr>
          <t xml:space="preserve">THIS IS NORMALLY LEFT BLANK.  IF YOU HAVE A  DIFFERENT NUMBER OF LOTS THAN THAT WHICH IS REQUIRED, THEN ENTER THE NUMBER OF LOTS YOU HAVE.
</t>
        </r>
      </text>
    </comment>
  </commentList>
</comments>
</file>

<file path=xl/comments5.xml><?xml version="1.0" encoding="utf-8"?>
<comments xmlns="http://schemas.openxmlformats.org/spreadsheetml/2006/main">
  <authors>
    <author>evan1deb</author>
    <author>Deb Evans</author>
    <author> </author>
  </authors>
  <commentList>
    <comment ref="P13" authorId="0">
      <text>
        <r>
          <rPr>
            <sz val="8"/>
            <rFont val="Tahoma"/>
            <family val="0"/>
          </rPr>
          <t xml:space="preserve">  MIX TYPES
LV - 3% AIR VOIDS, 91.5% REQUIRED DENSITY.               LV-R - LV"REDUCED" 1%, 90.5 % REQUIRED DENSITY         
 MV - 3.5%AIR VOIDS, 91.5% REQUIRED DENSITY. 
MV-R - MV"REDUCED" 1%, , 90.5% REQUIRED DENSITY         
 HV - 4% AIR VOIDS, 91.5% REQUIRED DENSITY.   
 HV-R - HV"REDUCED" 1%, 90.5% REQUIRED DENSITY
SPWE - 2360 WEAR, 4% AIR VOIDS, 92% DENSITY SPWE-R - 2360 WEAR, DENSITY REDUCED 1%,91% 
SPNW - 2360 NONWEAR,3% AIR VOIDS 93% DENS SPNW-R - 2360 NONWEAR REDUCED DENSITY 1%
</t>
        </r>
      </text>
    </comment>
    <comment ref="H8" authorId="0">
      <text>
        <r>
          <rPr>
            <b/>
            <sz val="10"/>
            <rFont val="Arial"/>
            <family val="2"/>
          </rPr>
          <t xml:space="preserve">When putting in values for
stationing do not add plus signs
</t>
        </r>
      </text>
    </comment>
    <comment ref="C25" authorId="1">
      <text>
        <r>
          <rPr>
            <sz val="8"/>
            <rFont val="Tahoma"/>
            <family val="0"/>
          </rPr>
          <t xml:space="preserve">START NUMBERING  THE LOTS AT THE BEGINNING OF THE JOB AND KEEP GOING.
EX:  FOR DAY 1 YOU HAVE LOTS 1-5 AND DAY 2 YOU START OUT AT 6. 
IT DOESN'T MATTER WHAT MIX YOU USE, YOU SHOULD NEVER HAVE ANY CORES WITH THE SAME NUMBERS.
</t>
        </r>
      </text>
    </comment>
    <comment ref="F22" authorId="1">
      <text>
        <r>
          <rPr>
            <sz val="8"/>
            <rFont val="Tahoma"/>
            <family val="0"/>
          </rPr>
          <t xml:space="preserve">IF YOU PUT A C IN FOR
THE COMPANION THE WORD COMP WILL COME UP IN THE CELL
</t>
        </r>
      </text>
    </comment>
    <comment ref="J20" authorId="2">
      <text>
        <r>
          <rPr>
            <b/>
            <sz val="8"/>
            <rFont val="Tahoma"/>
            <family val="0"/>
          </rPr>
          <t>THIS IS NORMALLY LEFT BLANK.  IF YOU HAVE A  DIFFERENT NUMBER OF LOTS THAN THAT WHICH IS REQUIRED, THEN ENTER THE NUMBER OF LOTS YOU HAVE.</t>
        </r>
      </text>
    </comment>
  </commentList>
</comments>
</file>

<file path=xl/comments7.xml><?xml version="1.0" encoding="utf-8"?>
<comments xmlns="http://schemas.openxmlformats.org/spreadsheetml/2006/main">
  <authors>
    <author>evan1deb</author>
    <author> </author>
    <author>Deb Evans</author>
  </authors>
  <commentList>
    <comment ref="H8" authorId="0">
      <text>
        <r>
          <rPr>
            <b/>
            <sz val="10"/>
            <rFont val="Arial"/>
            <family val="2"/>
          </rPr>
          <t xml:space="preserve">When putting in values for
stationing do not add plus signs
</t>
        </r>
      </text>
    </comment>
    <comment ref="J20" authorId="1">
      <text>
        <r>
          <rPr>
            <b/>
            <sz val="8"/>
            <rFont val="Tahoma"/>
            <family val="0"/>
          </rPr>
          <t>THIS IS NORMALLY LEFT BLANK.  IF YOU HAVE A  DIFFERENT NUMBER OF LOTS THAN THAT WHICH IS REQUIRED, THEN ENTER THE NUMBER OF LOTS YOU HAVE.</t>
        </r>
      </text>
    </comment>
    <comment ref="F22" authorId="2">
      <text>
        <r>
          <rPr>
            <sz val="8"/>
            <rFont val="Tahoma"/>
            <family val="0"/>
          </rPr>
          <t xml:space="preserve">IF YOU PUT A C IN FOR
THE COMPANION THE WORD COMP WILL COME UP IN THE CELL
</t>
        </r>
      </text>
    </comment>
    <comment ref="C25" authorId="2">
      <text>
        <r>
          <rPr>
            <sz val="8"/>
            <rFont val="Tahoma"/>
            <family val="0"/>
          </rPr>
          <t xml:space="preserve">START NUMBERING  THE LOTS AT THE BEGINNING OF THE JOB AND KEEP GOING.
EX:  FOR DAY 1 YOU HAVE LOTS 1-5 AND DAY 2 YOU START OUT AT 6. 
IT DOESN'T MATTER WHAT MIX YOU USE, YOU SHOULD NEVER HAVE ANY CORES WITH THE SAME NUMBERS.
</t>
        </r>
      </text>
    </comment>
  </commentList>
</comments>
</file>

<file path=xl/sharedStrings.xml><?xml version="1.0" encoding="utf-8"?>
<sst xmlns="http://schemas.openxmlformats.org/spreadsheetml/2006/main" count="3106" uniqueCount="332">
  <si>
    <t>S.P.</t>
  </si>
  <si>
    <t>T.H.</t>
  </si>
  <si>
    <t>Contractor</t>
  </si>
  <si>
    <t>Total Length Paved</t>
  </si>
  <si>
    <t>Lane Width Paved</t>
  </si>
  <si>
    <t>Mix Type</t>
  </si>
  <si>
    <t>D</t>
  </si>
  <si>
    <t>I</t>
  </si>
  <si>
    <t>Tons</t>
  </si>
  <si>
    <t>Lots</t>
  </si>
  <si>
    <t>CORE</t>
  </si>
  <si>
    <t>CORE/PAN</t>
  </si>
  <si>
    <t>%  WATER</t>
  </si>
  <si>
    <t>LOT</t>
  </si>
  <si>
    <t>CORE #</t>
  </si>
  <si>
    <t>AIR DRY</t>
  </si>
  <si>
    <t>(or dry wt.)</t>
  </si>
  <si>
    <t>PAN WT.</t>
  </si>
  <si>
    <t>DRY WT.</t>
  </si>
  <si>
    <t>SSD WT.</t>
  </si>
  <si>
    <t>IMM. WT.</t>
  </si>
  <si>
    <t>ABSORBED</t>
  </si>
  <si>
    <t>Sp GRAV.</t>
  </si>
  <si>
    <t>COMP</t>
  </si>
  <si>
    <t>1st Core of Lot</t>
  </si>
  <si>
    <t>2nd Core of Lot</t>
  </si>
  <si>
    <t>BITUMINOUS CORING LOG</t>
  </si>
  <si>
    <t>Rem</t>
  </si>
  <si>
    <t>Begin</t>
  </si>
  <si>
    <t>End</t>
  </si>
  <si>
    <t>Length</t>
  </si>
  <si>
    <t>Dist</t>
  </si>
  <si>
    <t>Station</t>
  </si>
  <si>
    <t>Date Paved</t>
  </si>
  <si>
    <t>Lot</t>
  </si>
  <si>
    <t>This</t>
  </si>
  <si>
    <t>Left in</t>
  </si>
  <si>
    <t>Core</t>
  </si>
  <si>
    <t>of</t>
  </si>
  <si>
    <t>T. H.</t>
  </si>
  <si>
    <t>Engineer</t>
  </si>
  <si>
    <t>Day #</t>
  </si>
  <si>
    <t>Lane</t>
  </si>
  <si>
    <t>Dist.</t>
  </si>
  <si>
    <t>Plant</t>
  </si>
  <si>
    <t>Date Cored</t>
  </si>
  <si>
    <t>Lane 1</t>
  </si>
  <si>
    <t>Lane Name</t>
  </si>
  <si>
    <t>Direction</t>
  </si>
  <si>
    <t>Lane 2</t>
  </si>
  <si>
    <t xml:space="preserve">Begin Station </t>
  </si>
  <si>
    <t xml:space="preserve">End Station </t>
  </si>
  <si>
    <t xml:space="preserve">Length Paved </t>
  </si>
  <si>
    <t>Bid Price/Ton</t>
  </si>
  <si>
    <t>Lane 3</t>
  </si>
  <si>
    <t>LV</t>
  </si>
  <si>
    <t>Lane 4</t>
  </si>
  <si>
    <t>LV-R</t>
  </si>
  <si>
    <t>Lane 5</t>
  </si>
  <si>
    <t>MV</t>
  </si>
  <si>
    <t>Lift Paved</t>
  </si>
  <si>
    <t>Lane 6</t>
  </si>
  <si>
    <t>MV-R</t>
  </si>
  <si>
    <t>Mix Spec</t>
  </si>
  <si>
    <t>HV</t>
  </si>
  <si>
    <t>HV-R</t>
  </si>
  <si>
    <t>Total Tons Paved</t>
  </si>
  <si>
    <t>Lots Required</t>
  </si>
  <si>
    <t>SPNW</t>
  </si>
  <si>
    <t>Tons Per Lot</t>
  </si>
  <si>
    <t>Required Lot Length</t>
  </si>
  <si>
    <t>MIX</t>
  </si>
  <si>
    <t>SPNW-R</t>
  </si>
  <si>
    <t>SPWE</t>
  </si>
  <si>
    <t>SPWE-R</t>
  </si>
  <si>
    <t>Comp</t>
  </si>
  <si>
    <t>Random</t>
  </si>
  <si>
    <t>Distance</t>
  </si>
  <si>
    <t>Station of</t>
  </si>
  <si>
    <t xml:space="preserve">Lane </t>
  </si>
  <si>
    <t>Offset of</t>
  </si>
  <si>
    <t>*</t>
  </si>
  <si>
    <t>Tonnage</t>
  </si>
  <si>
    <t>#</t>
  </si>
  <si>
    <t>Name</t>
  </si>
  <si>
    <t>Width</t>
  </si>
  <si>
    <t>Pass</t>
  </si>
  <si>
    <t>Lot Number</t>
  </si>
  <si>
    <t>A</t>
  </si>
  <si>
    <t>B</t>
  </si>
  <si>
    <t xml:space="preserve">C </t>
  </si>
  <si>
    <t>E</t>
  </si>
  <si>
    <t>F</t>
  </si>
  <si>
    <t>G</t>
  </si>
  <si>
    <t>H</t>
  </si>
  <si>
    <t>J</t>
  </si>
  <si>
    <t>K</t>
  </si>
  <si>
    <t>L</t>
  </si>
  <si>
    <t>Remarks</t>
  </si>
  <si>
    <t>M</t>
  </si>
  <si>
    <t>Metric Tons</t>
  </si>
  <si>
    <t>0-545</t>
  </si>
  <si>
    <t>546-910</t>
  </si>
  <si>
    <t>911-1455</t>
  </si>
  <si>
    <t>1456-3275</t>
  </si>
  <si>
    <t>3276-4545</t>
  </si>
  <si>
    <t>&gt;4545</t>
  </si>
  <si>
    <t>Street Inspector</t>
  </si>
  <si>
    <t>(metric)</t>
  </si>
  <si>
    <t>Total Tons Expected</t>
  </si>
  <si>
    <t>Mix</t>
  </si>
  <si>
    <t>Tons Per Core</t>
  </si>
  <si>
    <t>Tons/</t>
  </si>
  <si>
    <t xml:space="preserve"> C </t>
  </si>
  <si>
    <t xml:space="preserve">         Daily Production</t>
  </si>
  <si>
    <t>English Tons</t>
  </si>
  <si>
    <t>0-600</t>
  </si>
  <si>
    <t>601-1000</t>
  </si>
  <si>
    <t>1001-1600</t>
  </si>
  <si>
    <t>1601-3600</t>
  </si>
  <si>
    <t>3601-5000</t>
  </si>
  <si>
    <t>&gt;5000</t>
  </si>
  <si>
    <t>#  0F COMPANIONS CORES =</t>
  </si>
  <si>
    <t xml:space="preserve">    50% TOTAL CORES</t>
  </si>
  <si>
    <t xml:space="preserve"> </t>
  </si>
  <si>
    <t>Core Tons</t>
  </si>
  <si>
    <t>Offset</t>
  </si>
  <si>
    <t xml:space="preserve"> Comp</t>
  </si>
  <si>
    <t>C</t>
  </si>
  <si>
    <t>Daily Production</t>
  </si>
  <si>
    <t>TIME IN</t>
  </si>
  <si>
    <t>TIME OUT</t>
  </si>
  <si>
    <t>Paved</t>
  </si>
  <si>
    <t>Cored</t>
  </si>
  <si>
    <t>Test #</t>
  </si>
  <si>
    <t># of Lots</t>
  </si>
  <si>
    <t xml:space="preserve">AVE. </t>
  </si>
  <si>
    <t>MAX.</t>
  </si>
  <si>
    <t>FINAL DENSITY</t>
  </si>
  <si>
    <t>PAN ID.</t>
  </si>
  <si>
    <t>GRAVITY</t>
  </si>
  <si>
    <t xml:space="preserve">% 0F MAXIMUM </t>
  </si>
  <si>
    <t>(B-D)</t>
  </si>
  <si>
    <t>E/(F-G)</t>
  </si>
  <si>
    <t>(J1+J2)/2</t>
  </si>
  <si>
    <t>(K/L)*100</t>
  </si>
  <si>
    <t xml:space="preserve">PUT COMPANON CORE VALUE </t>
  </si>
  <si>
    <t xml:space="preserve"> COMPANION  CORE,  TESTED BY Mn/DOT,  SP. GRAVITY NOT INCLUDED IN AVERAGE. CHECK .030 TOLERANCE.</t>
  </si>
  <si>
    <t>( 1 )  SEE SPECIFICATION 2350.6B2 OR 2360.5B1.</t>
  </si>
  <si>
    <t>Signature QC</t>
  </si>
  <si>
    <t>Signature QA</t>
  </si>
  <si>
    <r>
      <t xml:space="preserve">      </t>
    </r>
    <r>
      <rPr>
        <b/>
        <sz val="18"/>
        <rFont val="Arial"/>
        <family val="2"/>
      </rPr>
      <t xml:space="preserve">CORE       WORKSHEET         </t>
    </r>
    <r>
      <rPr>
        <sz val="18"/>
        <rFont val="Arial"/>
        <family val="2"/>
      </rPr>
      <t xml:space="preserve">    </t>
    </r>
  </si>
  <si>
    <t>Verification:Field I.D.</t>
  </si>
  <si>
    <t>LVWE15030</t>
  </si>
  <si>
    <t>LVWE25030</t>
  </si>
  <si>
    <t>LVWE35030</t>
  </si>
  <si>
    <t>LVWE45030</t>
  </si>
  <si>
    <t>LVWE55030</t>
  </si>
  <si>
    <t>LVNW15030</t>
  </si>
  <si>
    <t>LVNW25030</t>
  </si>
  <si>
    <t>LVNW35030</t>
  </si>
  <si>
    <t>LVNW45030</t>
  </si>
  <si>
    <t>LVNW55030</t>
  </si>
  <si>
    <t>MVWE15035</t>
  </si>
  <si>
    <t>MVWE25035</t>
  </si>
  <si>
    <t>MVWE35035</t>
  </si>
  <si>
    <t>MVWE45035</t>
  </si>
  <si>
    <t>MVWE55035</t>
  </si>
  <si>
    <t>MVNW15035</t>
  </si>
  <si>
    <t>MVNW25035</t>
  </si>
  <si>
    <t>MVNW35035</t>
  </si>
  <si>
    <t>MVNW45035</t>
  </si>
  <si>
    <t>MVNW55035</t>
  </si>
  <si>
    <t>HVWE17540</t>
  </si>
  <si>
    <t>HVWE27540</t>
  </si>
  <si>
    <t>HVWE37540</t>
  </si>
  <si>
    <t>HVWE47540</t>
  </si>
  <si>
    <t>HVWE57540</t>
  </si>
  <si>
    <t>HVNW17540</t>
  </si>
  <si>
    <t>HVNW27540</t>
  </si>
  <si>
    <t>HVNW37540</t>
  </si>
  <si>
    <t>HVNW47540</t>
  </si>
  <si>
    <t>HVNW57540</t>
  </si>
  <si>
    <t>SPWEA140</t>
  </si>
  <si>
    <t>SPWEA240</t>
  </si>
  <si>
    <t>SPWEA340</t>
  </si>
  <si>
    <t>SPWEA440</t>
  </si>
  <si>
    <t>SPWEA540</t>
  </si>
  <si>
    <t>SPWEA640</t>
  </si>
  <si>
    <t>SPWEA740</t>
  </si>
  <si>
    <t>SPWEB140</t>
  </si>
  <si>
    <t>SPWEB240</t>
  </si>
  <si>
    <t>SPWEB340</t>
  </si>
  <si>
    <t>SPWEB440</t>
  </si>
  <si>
    <t>SPWEB540</t>
  </si>
  <si>
    <t>SPWEB640</t>
  </si>
  <si>
    <t>SPWEB740</t>
  </si>
  <si>
    <t>Station:</t>
  </si>
  <si>
    <t>Thickness</t>
  </si>
  <si>
    <t>(mm)/in</t>
  </si>
  <si>
    <t>Average thickness of cores=</t>
  </si>
  <si>
    <t>SPNWC130</t>
  </si>
  <si>
    <t>SPNWC230</t>
  </si>
  <si>
    <t>SPNWC330</t>
  </si>
  <si>
    <t>SPNWC430</t>
  </si>
  <si>
    <t>SPNWC530</t>
  </si>
  <si>
    <t>SPNWC630</t>
  </si>
  <si>
    <t>SPNWC730</t>
  </si>
  <si>
    <t>SPNWB130</t>
  </si>
  <si>
    <t>SPNWB230</t>
  </si>
  <si>
    <t>SPNWB330</t>
  </si>
  <si>
    <t>SPNWB430</t>
  </si>
  <si>
    <t>SPNWB530</t>
  </si>
  <si>
    <t>SPNWB630</t>
  </si>
  <si>
    <t>SPNWB730</t>
  </si>
  <si>
    <t>(F-(A-E))-(G-(A-E))</t>
  </si>
  <si>
    <t>SPNWA130</t>
  </si>
  <si>
    <t>SPNWA230</t>
  </si>
  <si>
    <t>SPNWA330</t>
  </si>
  <si>
    <t>SPNWA430</t>
  </si>
  <si>
    <t>SPNWA530</t>
  </si>
  <si>
    <t>SPNWA630</t>
  </si>
  <si>
    <t>SPNWA730</t>
  </si>
  <si>
    <t>SPWEC240</t>
  </si>
  <si>
    <t>SPWEC140</t>
  </si>
  <si>
    <t>SPWEC340</t>
  </si>
  <si>
    <t>SPWEC440</t>
  </si>
  <si>
    <t>SPWEC540</t>
  </si>
  <si>
    <t>SPWEC640</t>
  </si>
  <si>
    <t>SPWEC740</t>
  </si>
  <si>
    <t xml:space="preserve">Core </t>
  </si>
  <si>
    <t>(english)</t>
  </si>
  <si>
    <t>MDR/Rec #</t>
  </si>
  <si>
    <t>&gt;5001</t>
  </si>
  <si>
    <t>Signature</t>
  </si>
  <si>
    <t>MDR/Rec#</t>
  </si>
  <si>
    <t>Date Cores Tested</t>
  </si>
  <si>
    <t>Lane 7</t>
  </si>
  <si>
    <t>Lane 8</t>
  </si>
  <si>
    <t>v</t>
  </si>
  <si>
    <t>(F-(A-E)-E)*100</t>
  </si>
  <si>
    <t>Mosture Calculation is using AASHTO T-166 Method C(Mn/DOT modified)</t>
  </si>
  <si>
    <t>Paving Date</t>
  </si>
  <si>
    <t>5657-123</t>
  </si>
  <si>
    <t>xyz</t>
  </si>
  <si>
    <t>#1</t>
  </si>
  <si>
    <t>dan</t>
  </si>
  <si>
    <t>first</t>
  </si>
  <si>
    <t>2003-123</t>
  </si>
  <si>
    <t>1232-123</t>
  </si>
  <si>
    <t>second</t>
  </si>
  <si>
    <t>third</t>
  </si>
  <si>
    <t>fourth</t>
  </si>
  <si>
    <t>fifth</t>
  </si>
  <si>
    <t>sixth</t>
  </si>
  <si>
    <t>seventh</t>
  </si>
  <si>
    <t>eighth</t>
  </si>
  <si>
    <t>MV-reduced</t>
  </si>
  <si>
    <t>HV-reduced</t>
  </si>
  <si>
    <t>SPWE-shldr</t>
  </si>
  <si>
    <t>SPNW-rdcd</t>
  </si>
  <si>
    <t>SPWE-rdcd</t>
  </si>
  <si>
    <t>SPWE-sh-R</t>
  </si>
  <si>
    <t>SPWEA230</t>
  </si>
  <si>
    <t>SPWEA330</t>
  </si>
  <si>
    <t>SPWEA430</t>
  </si>
  <si>
    <t>SPWEB230</t>
  </si>
  <si>
    <t>SPWEB330</t>
  </si>
  <si>
    <t>SPWEB430</t>
  </si>
  <si>
    <t>SPWEC230</t>
  </si>
  <si>
    <t>SPWEC330</t>
  </si>
  <si>
    <t>SPWEC430</t>
  </si>
  <si>
    <t>Revision History
Revision for 9/13/2002
Modified the "Mix" pull down box so that options for 65 blow HV mixes are available
Revision for 10/7/2002
Modified the revisions dates on every sheet to change to the same as cell "A2" on the "notes"
sheet.  Now the revision date only has to be entered once, in cell "A2" on the notes page
and all pages will show the revision date.  Also, some code has been added to the macro 
attached to the button on this page.  This new code will check to see if the date has been
changed from the default date of 1/1/1930.  If the date has not been changed, then the macro
will change the date to 7/7/1998.  Once the file is saved with this date, then the random  
numbers will be locked until the date is changed by the user.  This change was made, because
some users were intentionally not changing the date, and every time they re-entered the file
the random numbers would change.  The intention is that the users put the actual date in cell
"B3", thus locking the random numbers.  
Revision for 5/9/03
Modified the spread sheet so that it does offsets for the core by ton method.
Revision for 20july2005 - added mix types for shoulder wear with 3.0% air voids
Revision for August 16, 2005 - made some formatting changes.  Unprotected the cells where "remarks" can be made.
Unprotected the lane width fields.
Revisions for July 31, 2006 - made some formatting changes.  Unprotected cells for "mix type"
Revisions for August 11, 2006 - added the capability to over-ride the number of lots.</t>
  </si>
  <si>
    <t xml:space="preserve">Over-ride the # of Lots  </t>
  </si>
  <si>
    <t>Over-ride the # of Lots</t>
  </si>
  <si>
    <t xml:space="preserve">Over-ride the # of lots   </t>
  </si>
  <si>
    <t>Lane 9</t>
  </si>
  <si>
    <t>nine</t>
  </si>
  <si>
    <t>tenth</t>
  </si>
  <si>
    <t>LJD Cores</t>
  </si>
  <si>
    <t xml:space="preserve">Mat Core </t>
  </si>
  <si>
    <t>is this lot</t>
  </si>
  <si>
    <t>a longitudinal</t>
  </si>
  <si>
    <t>joint density</t>
  </si>
  <si>
    <t>lot</t>
  </si>
  <si>
    <t>longitudinal joint</t>
  </si>
  <si>
    <t>density lots</t>
  </si>
  <si>
    <t>number of LJD</t>
  </si>
  <si>
    <t>lots</t>
  </si>
  <si>
    <t>first lot</t>
  </si>
  <si>
    <t>second lot</t>
  </si>
  <si>
    <t>LJD ??</t>
  </si>
  <si>
    <t>random</t>
  </si>
  <si>
    <t>LJD suffix</t>
  </si>
  <si>
    <t>LJD offset</t>
  </si>
  <si>
    <t>LJD num</t>
  </si>
  <si>
    <t>Lane 99</t>
  </si>
  <si>
    <t xml:space="preserve"> Daily Production</t>
  </si>
  <si>
    <t>#  0F COMPANIONS CORES =50% TOTAL CORES</t>
  </si>
  <si>
    <t>METRIC</t>
  </si>
  <si>
    <t>4-2007-37</t>
  </si>
  <si>
    <t xml:space="preserve">
Revision for 5/11/2007    -     This is a major revision that inplements changes for the 2007 special 
provision which includes the longitudinal joint density lots.  This version will pick the lots which are 
to be LJD lots and which agency cores are to be tested.  Two more rows have been added to
allow for more lanes in a day to be entered.
Insert two rows inbetween rows 15 and 16.  Move cell block R1:AU93 to R70:AU162.  Added one
row in each lot, within cell block C24:P35.   Move cell block S82:V92 to S61:V71.  Move cell block 
U96:W108 to X61:Z73.  Add two rows to each lot within the cell block X78:AO154.  Modify cell
block F24:F41 to randomly pick whether the first of second core within the lot will be tested by
the agency.  
Add Block AA60:AJ67 to determine the LJD lots and create their core identifier.
Revision for 5/22/07 - Added the companion core numbers to cell block F24:F40 on worksheets
"English Core" and "Metric Core".  
Revision for 8/6/2007 - fixed errors related to adding more rows for up to 10 lanes</t>
  </si>
  <si>
    <t>Random #</t>
  </si>
  <si>
    <t>Core # to test</t>
  </si>
  <si>
    <t>Center</t>
  </si>
  <si>
    <t>Lane Width</t>
  </si>
  <si>
    <t>BITUMINOUS CORING LOG with Longitudinal Joint Density (LJD)</t>
  </si>
  <si>
    <t>Core #</t>
  </si>
  <si>
    <t>Companion</t>
  </si>
  <si>
    <t>Tested?</t>
  </si>
  <si>
    <t>Label</t>
  </si>
  <si>
    <t>Cores</t>
  </si>
  <si>
    <t>Gearbox</t>
  </si>
  <si>
    <t>(ft)</t>
  </si>
  <si>
    <t>Output</t>
  </si>
  <si>
    <t>Mat Core Labels</t>
  </si>
  <si>
    <t>Label Used in Table</t>
  </si>
  <si>
    <t>LJD Core Labels</t>
  </si>
  <si>
    <t>Mat Cores</t>
  </si>
  <si>
    <t>Longitudinal Joint Desity Cores (LJD)</t>
  </si>
  <si>
    <t>Core ID</t>
  </si>
  <si>
    <t>Left Core ID</t>
  </si>
  <si>
    <t>Right Core ID</t>
  </si>
  <si>
    <t>The bottom of the page will now automatically display the proper core ID and offset for all cores</t>
  </si>
  <si>
    <t>Sheet "English Core" the LJD cores will appear at appropriate times with correct offset.</t>
  </si>
  <si>
    <t>Hid Sheets - "Core by Metric tons", "Metric Core", "Core Wkst","Blankcore Wksht" since they were not being used.</t>
  </si>
  <si>
    <t>Created new "Core by Tons - Blank Form" and "English Core - Blank Form" sheets</t>
  </si>
  <si>
    <t>Revision for 4/9/2008 - Sheet "Core by Tons" LJD core lD's will appear at appropriate times with correct offset</t>
  </si>
  <si>
    <t>Sheet Core by tons will display the offset and LJD core location for each tonage increment</t>
  </si>
  <si>
    <t>2008-DATED 4/10/2008</t>
  </si>
  <si>
    <t>Revision 4-10-2008</t>
  </si>
  <si>
    <t>Disabled the LJD calcuations and display so sheet can be used on projects without LJD spec.</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</si>
</sst>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0.00\)"/>
    <numFmt numFmtId="167" formatCode="0.000"/>
    <numFmt numFmtId="168" formatCode="0.0%"/>
    <numFmt numFmtId="169" formatCode="0.0000"/>
    <numFmt numFmtId="170" formatCode="0.00000"/>
    <numFmt numFmtId="171" formatCode="#,##0.000"/>
    <numFmt numFmtId="172" formatCode=".0&quot;C&quot;"/>
    <numFmt numFmtId="173" formatCode="m/d/yy\ h:mm\ AM/PM"/>
    <numFmt numFmtId="174" formatCode="0.000000"/>
    <numFmt numFmtId="175" formatCode="#\+###"/>
    <numFmt numFmtId="176" formatCode="#\+##"/>
    <numFmt numFmtId="177" formatCode="00000"/>
    <numFmt numFmtId="178" formatCode="#\+00.00"/>
    <numFmt numFmtId="179" formatCode="#\+00"/>
    <numFmt numFmtId="180" formatCode="#\+000.00"/>
    <numFmt numFmtId="181" formatCode="#\+0000.00"/>
    <numFmt numFmtId="182" formatCode="&quot;$&quot;#,##0.00"/>
    <numFmt numFmtId="183" formatCode="#,##0.0"/>
    <numFmt numFmtId="184" formatCode="&quot;$&quot;#,##0.00;[Red]&quot;$&quot;#,##0.00"/>
    <numFmt numFmtId="185" formatCode="#\+000\ "/>
    <numFmt numFmtId="186" formatCode="m/d"/>
    <numFmt numFmtId="187" formatCode="mm/dd/yy"/>
    <numFmt numFmtId="188" formatCode="###\+##.00"/>
    <numFmt numFmtId="189" formatCode="#\+###."/>
    <numFmt numFmtId="190" formatCode="##\+##.00"/>
    <numFmt numFmtId="191" formatCode="##\+##"/>
    <numFmt numFmtId="192" formatCode="###\+##"/>
    <numFmt numFmtId="193" formatCode="####\+##.00"/>
  </numFmts>
  <fonts count="34">
    <font>
      <sz val="10"/>
      <name val="Arial"/>
      <family val="0"/>
    </font>
    <font>
      <b/>
      <sz val="10"/>
      <name val="Arial"/>
      <family val="0"/>
    </font>
    <font>
      <i/>
      <sz val="10"/>
      <name val="Arial"/>
      <family val="0"/>
    </font>
    <font>
      <b/>
      <i/>
      <sz val="10"/>
      <name val="Arial"/>
      <family val="0"/>
    </font>
    <font>
      <sz val="8"/>
      <name val="Arial"/>
      <family val="2"/>
    </font>
    <font>
      <sz val="10"/>
      <name val="MS Sans Serif"/>
      <family val="0"/>
    </font>
    <font>
      <b/>
      <sz val="12"/>
      <name val="Arial"/>
      <family val="2"/>
    </font>
    <font>
      <b/>
      <sz val="8"/>
      <name val="Arial"/>
      <family val="2"/>
    </font>
    <font>
      <sz val="9"/>
      <name val="Arial"/>
      <family val="2"/>
    </font>
    <font>
      <sz val="8"/>
      <name val="Tahoma"/>
      <family val="0"/>
    </font>
    <font>
      <b/>
      <sz val="14"/>
      <name val="Arial"/>
      <family val="2"/>
    </font>
    <font>
      <sz val="14"/>
      <name val="Arial"/>
      <family val="2"/>
    </font>
    <font>
      <b/>
      <sz val="16"/>
      <name val="Tahoma"/>
      <family val="2"/>
    </font>
    <font>
      <sz val="10"/>
      <color indexed="55"/>
      <name val="Arial"/>
      <family val="2"/>
    </font>
    <font>
      <sz val="12"/>
      <name val="Arial"/>
      <family val="2"/>
    </font>
    <font>
      <b/>
      <sz val="11"/>
      <name val="Arial"/>
      <family val="2"/>
    </font>
    <font>
      <sz val="18"/>
      <name val="Arial"/>
      <family val="2"/>
    </font>
    <font>
      <u val="single"/>
      <sz val="16"/>
      <name val="Arial"/>
      <family val="2"/>
    </font>
    <font>
      <sz val="16"/>
      <name val="Arial"/>
      <family val="2"/>
    </font>
    <font>
      <sz val="28"/>
      <name val="Arial"/>
      <family val="2"/>
    </font>
    <font>
      <sz val="32"/>
      <name val="Arial"/>
      <family val="2"/>
    </font>
    <font>
      <u val="single"/>
      <sz val="10"/>
      <name val="Arial"/>
      <family val="2"/>
    </font>
    <font>
      <b/>
      <sz val="18"/>
      <name val="Arial"/>
      <family val="2"/>
    </font>
    <font>
      <sz val="8.5"/>
      <name val="MS Sans Serif"/>
      <family val="2"/>
    </font>
    <font>
      <sz val="6"/>
      <name val="Terminal"/>
      <family val="3"/>
    </font>
    <font>
      <sz val="6"/>
      <name val="Arial"/>
      <family val="0"/>
    </font>
    <font>
      <sz val="8"/>
      <name val="Times (PCL6)"/>
      <family val="1"/>
    </font>
    <font>
      <sz val="12"/>
      <color indexed="10"/>
      <name val="Arial"/>
      <family val="2"/>
    </font>
    <font>
      <sz val="10"/>
      <color indexed="22"/>
      <name val="Arial"/>
      <family val="2"/>
    </font>
    <font>
      <b/>
      <sz val="18"/>
      <name val="Tahoma"/>
      <family val="2"/>
    </font>
    <font>
      <b/>
      <sz val="8"/>
      <name val="Tahoma"/>
      <family val="0"/>
    </font>
    <font>
      <b/>
      <u val="single"/>
      <sz val="16"/>
      <name val="Arial"/>
      <family val="2"/>
    </font>
    <font>
      <b/>
      <sz val="16"/>
      <name val="Arial"/>
      <family val="2"/>
    </font>
    <font>
      <sz val="13"/>
      <name val="Arial"/>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4">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thin"/>
      <bottom style="medium"/>
    </border>
    <border>
      <left style="medium"/>
      <right style="medium"/>
      <top>
        <color indexed="63"/>
      </top>
      <bottom style="medium"/>
    </border>
    <border>
      <left style="medium"/>
      <right>
        <color indexed="63"/>
      </right>
      <top style="medium"/>
      <bottom style="medium"/>
    </border>
    <border>
      <left>
        <color indexed="63"/>
      </left>
      <right style="medium"/>
      <top>
        <color indexed="63"/>
      </top>
      <bottom>
        <color indexed="63"/>
      </bottom>
    </border>
    <border>
      <left style="medium"/>
      <right style="double"/>
      <top>
        <color indexed="63"/>
      </top>
      <bottom>
        <color indexed="63"/>
      </bottom>
    </border>
    <border>
      <left>
        <color indexed="63"/>
      </left>
      <right>
        <color indexed="63"/>
      </right>
      <top>
        <color indexed="63"/>
      </top>
      <bottom style="thick"/>
    </border>
    <border>
      <left>
        <color indexed="63"/>
      </left>
      <right style="medium"/>
      <top style="medium"/>
      <bottom>
        <color indexed="63"/>
      </bottom>
    </border>
    <border>
      <left style="medium"/>
      <right style="double"/>
      <top style="medium"/>
      <bottom>
        <color indexed="63"/>
      </bottom>
    </border>
    <border>
      <left>
        <color indexed="63"/>
      </left>
      <right style="medium"/>
      <top style="medium"/>
      <bottom style="medium"/>
    </border>
    <border>
      <left style="medium"/>
      <right style="double"/>
      <top style="medium"/>
      <bottom style="medium"/>
    </border>
    <border>
      <left style="double"/>
      <right>
        <color indexed="63"/>
      </right>
      <top style="medium"/>
      <bottom style="medium"/>
    </border>
    <border>
      <left>
        <color indexed="63"/>
      </left>
      <right style="double"/>
      <top style="medium"/>
      <bottom style="medium"/>
    </border>
    <border>
      <left>
        <color indexed="63"/>
      </left>
      <right>
        <color indexed="63"/>
      </right>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610">
    <xf numFmtId="0" fontId="0" fillId="0" borderId="0" xfId="0" applyAlignment="1">
      <alignment/>
    </xf>
    <xf numFmtId="0" fontId="8" fillId="0" borderId="0" xfId="0" applyFont="1" applyAlignment="1" applyProtection="1">
      <alignment horizontal="center"/>
      <protection/>
    </xf>
    <xf numFmtId="167" fontId="0" fillId="0" borderId="0" xfId="0" applyNumberFormat="1" applyAlignment="1" applyProtection="1">
      <alignment horizontal="center"/>
      <protection locked="0"/>
    </xf>
    <xf numFmtId="0" fontId="0" fillId="0" borderId="0" xfId="0" applyAlignment="1" applyProtection="1">
      <alignment/>
      <protection locked="0"/>
    </xf>
    <xf numFmtId="0" fontId="0" fillId="0" borderId="1" xfId="0" applyFill="1" applyBorder="1" applyAlignment="1">
      <alignment horizontal="center"/>
    </xf>
    <xf numFmtId="14" fontId="0" fillId="2" borderId="1" xfId="0" applyNumberForma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0" fontId="0" fillId="0" borderId="0" xfId="0" applyAlignment="1">
      <alignment horizontal="center"/>
    </xf>
    <xf numFmtId="0" fontId="0" fillId="0" borderId="2" xfId="0" applyFill="1" applyBorder="1" applyAlignment="1">
      <alignment horizontal="center"/>
    </xf>
    <xf numFmtId="0" fontId="0" fillId="2" borderId="1" xfId="0" applyFill="1" applyBorder="1" applyAlignment="1" applyProtection="1">
      <alignment horizontal="center"/>
      <protection locked="0"/>
    </xf>
    <xf numFmtId="0" fontId="0" fillId="2" borderId="1" xfId="0" applyFill="1" applyBorder="1" applyAlignment="1" applyProtection="1">
      <alignment/>
      <protection locked="0"/>
    </xf>
    <xf numFmtId="0" fontId="0" fillId="0" borderId="3" xfId="0" applyBorder="1" applyAlignment="1">
      <alignment horizontal="center"/>
    </xf>
    <xf numFmtId="1" fontId="0" fillId="0" borderId="0" xfId="0" applyNumberFormat="1" applyAlignment="1">
      <alignment/>
    </xf>
    <xf numFmtId="0" fontId="0" fillId="0" borderId="4" xfId="0" applyBorder="1" applyAlignment="1">
      <alignment horizontal="center"/>
    </xf>
    <xf numFmtId="0" fontId="4" fillId="0" borderId="3" xfId="0" applyFont="1" applyFill="1" applyBorder="1" applyAlignment="1">
      <alignment/>
    </xf>
    <xf numFmtId="0" fontId="4" fillId="0" borderId="5" xfId="0" applyFont="1" applyFill="1" applyBorder="1" applyAlignment="1">
      <alignment horizontal="center"/>
    </xf>
    <xf numFmtId="0" fontId="0" fillId="0" borderId="3" xfId="0" applyFill="1" applyBorder="1" applyAlignment="1">
      <alignment/>
    </xf>
    <xf numFmtId="0" fontId="4" fillId="0" borderId="1" xfId="0" applyFont="1" applyFill="1" applyBorder="1" applyAlignment="1">
      <alignment horizontal="center"/>
    </xf>
    <xf numFmtId="0" fontId="0" fillId="0" borderId="0" xfId="0" applyBorder="1" applyAlignment="1">
      <alignment/>
    </xf>
    <xf numFmtId="0" fontId="0" fillId="0" borderId="1" xfId="0" applyFill="1" applyBorder="1" applyAlignment="1">
      <alignment/>
    </xf>
    <xf numFmtId="188" fontId="0" fillId="0" borderId="0" xfId="0" applyNumberFormat="1" applyAlignment="1">
      <alignment horizontal="center"/>
    </xf>
    <xf numFmtId="0" fontId="4" fillId="0" borderId="0" xfId="0" applyFont="1" applyFill="1" applyBorder="1" applyAlignment="1">
      <alignment horizontal="center"/>
    </xf>
    <xf numFmtId="44" fontId="0" fillId="0" borderId="0" xfId="17" applyFill="1" applyBorder="1" applyAlignment="1" applyProtection="1">
      <alignment/>
      <protection locked="0"/>
    </xf>
    <xf numFmtId="0" fontId="0" fillId="0" borderId="1" xfId="0" applyBorder="1" applyAlignment="1">
      <alignment horizontal="center"/>
    </xf>
    <xf numFmtId="0" fontId="0" fillId="2" borderId="3" xfId="0" applyFont="1" applyFill="1" applyBorder="1" applyAlignment="1" applyProtection="1">
      <alignment horizontal="center"/>
      <protection locked="0"/>
    </xf>
    <xf numFmtId="0" fontId="0" fillId="0" borderId="1" xfId="0" applyFont="1" applyFill="1" applyBorder="1" applyAlignment="1">
      <alignment horizontal="center"/>
    </xf>
    <xf numFmtId="0" fontId="0" fillId="0" borderId="1" xfId="0" applyFill="1" applyBorder="1" applyAlignment="1" applyProtection="1">
      <alignment/>
      <protection locked="0"/>
    </xf>
    <xf numFmtId="1" fontId="0" fillId="0" borderId="3" xfId="0" applyNumberFormat="1" applyFont="1" applyFill="1" applyBorder="1" applyAlignment="1">
      <alignment horizontal="center"/>
    </xf>
    <xf numFmtId="1" fontId="0" fillId="0" borderId="1" xfId="0" applyNumberFormat="1" applyFont="1" applyFill="1" applyBorder="1" applyAlignment="1">
      <alignment horizontal="center"/>
    </xf>
    <xf numFmtId="0" fontId="4" fillId="2" borderId="1" xfId="0" applyFont="1" applyFill="1" applyBorder="1" applyAlignment="1" applyProtection="1">
      <alignment horizontal="center"/>
      <protection locked="0"/>
    </xf>
    <xf numFmtId="0" fontId="0" fillId="0" borderId="0" xfId="0" applyFill="1" applyAlignment="1">
      <alignment/>
    </xf>
    <xf numFmtId="0" fontId="13" fillId="3" borderId="6" xfId="0" applyFont="1" applyFill="1" applyBorder="1" applyAlignment="1">
      <alignment/>
    </xf>
    <xf numFmtId="0" fontId="13" fillId="3" borderId="7" xfId="0" applyFont="1" applyFill="1" applyBorder="1" applyAlignment="1">
      <alignment/>
    </xf>
    <xf numFmtId="0" fontId="0" fillId="0" borderId="7" xfId="0" applyBorder="1" applyAlignment="1">
      <alignment horizontal="center"/>
    </xf>
    <xf numFmtId="0" fontId="13" fillId="3" borderId="8" xfId="0" applyFont="1" applyFill="1" applyBorder="1" applyAlignment="1">
      <alignment/>
    </xf>
    <xf numFmtId="0" fontId="13" fillId="3" borderId="9" xfId="0" applyFont="1" applyFill="1"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0" xfId="0" applyFont="1" applyAlignment="1">
      <alignment horizontal="center"/>
    </xf>
    <xf numFmtId="0" fontId="14" fillId="0" borderId="4" xfId="0" applyFont="1" applyBorder="1" applyAlignment="1">
      <alignment horizontal="center"/>
    </xf>
    <xf numFmtId="0" fontId="0" fillId="3" borderId="4" xfId="0" applyFill="1" applyBorder="1" applyAlignment="1">
      <alignment/>
    </xf>
    <xf numFmtId="1" fontId="0" fillId="0" borderId="4" xfId="0" applyNumberFormat="1" applyFill="1" applyBorder="1" applyAlignment="1">
      <alignment/>
    </xf>
    <xf numFmtId="164" fontId="0" fillId="0" borderId="4" xfId="0" applyNumberFormat="1" applyBorder="1" applyAlignment="1">
      <alignment/>
    </xf>
    <xf numFmtId="2" fontId="0" fillId="0" borderId="0" xfId="0" applyNumberFormat="1" applyBorder="1" applyAlignment="1">
      <alignment/>
    </xf>
    <xf numFmtId="0" fontId="14" fillId="0" borderId="11" xfId="0" applyFont="1" applyBorder="1" applyAlignment="1">
      <alignment horizontal="center"/>
    </xf>
    <xf numFmtId="1" fontId="0" fillId="0" borderId="12" xfId="0" applyNumberFormat="1" applyBorder="1" applyAlignment="1">
      <alignment/>
    </xf>
    <xf numFmtId="1" fontId="0" fillId="0" borderId="1" xfId="0" applyNumberFormat="1" applyFill="1" applyBorder="1" applyAlignment="1">
      <alignment/>
    </xf>
    <xf numFmtId="0" fontId="0" fillId="0" borderId="12" xfId="0" applyBorder="1" applyAlignment="1">
      <alignment horizontal="center"/>
    </xf>
    <xf numFmtId="0" fontId="0" fillId="3" borderId="1" xfId="0" applyFill="1" applyBorder="1" applyAlignment="1">
      <alignment/>
    </xf>
    <xf numFmtId="1" fontId="0" fillId="0" borderId="11" xfId="0" applyNumberFormat="1" applyBorder="1" applyAlignment="1">
      <alignment/>
    </xf>
    <xf numFmtId="164" fontId="0" fillId="0" borderId="1" xfId="0" applyNumberFormat="1"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0" xfId="0" applyFill="1" applyBorder="1" applyAlignment="1" applyProtection="1">
      <alignment horizontal="center"/>
      <protection locked="0"/>
    </xf>
    <xf numFmtId="2" fontId="0" fillId="0" borderId="0" xfId="0" applyNumberFormat="1" applyFill="1" applyBorder="1" applyAlignment="1" applyProtection="1">
      <alignment/>
      <protection locked="0"/>
    </xf>
    <xf numFmtId="1" fontId="0" fillId="0" borderId="0" xfId="0" applyNumberFormat="1" applyFill="1" applyBorder="1" applyAlignment="1">
      <alignment/>
    </xf>
    <xf numFmtId="167" fontId="0" fillId="0" borderId="0" xfId="0" applyNumberFormat="1" applyFill="1" applyBorder="1" applyAlignment="1">
      <alignment/>
    </xf>
    <xf numFmtId="175" fontId="0" fillId="0" borderId="0" xfId="0" applyNumberFormat="1" applyFill="1" applyBorder="1" applyAlignment="1" applyProtection="1">
      <alignment/>
      <protection locked="0"/>
    </xf>
    <xf numFmtId="175" fontId="0" fillId="0" borderId="0" xfId="0" applyNumberFormat="1" applyFill="1" applyBorder="1" applyAlignment="1">
      <alignment/>
    </xf>
    <xf numFmtId="164" fontId="0" fillId="0" borderId="0" xfId="0" applyNumberFormat="1" applyBorder="1" applyAlignment="1">
      <alignment/>
    </xf>
    <xf numFmtId="0" fontId="11" fillId="0" borderId="1" xfId="0" applyFont="1" applyBorder="1" applyAlignment="1">
      <alignment/>
    </xf>
    <xf numFmtId="164" fontId="0" fillId="0" borderId="0" xfId="0" applyNumberFormat="1" applyFont="1" applyAlignment="1">
      <alignment horizontal="center"/>
    </xf>
    <xf numFmtId="0" fontId="4" fillId="0" borderId="0" xfId="0" applyFont="1" applyAlignment="1">
      <alignment/>
    </xf>
    <xf numFmtId="0" fontId="11" fillId="0" borderId="0" xfId="0" applyFont="1" applyBorder="1" applyAlignment="1">
      <alignment/>
    </xf>
    <xf numFmtId="188" fontId="0" fillId="0" borderId="0" xfId="0" applyNumberFormat="1" applyAlignment="1">
      <alignment/>
    </xf>
    <xf numFmtId="1" fontId="0" fillId="0" borderId="0" xfId="0" applyNumberFormat="1" applyAlignment="1">
      <alignment horizontal="center"/>
    </xf>
    <xf numFmtId="0" fontId="6" fillId="0" borderId="13" xfId="0" applyFont="1" applyFill="1" applyBorder="1" applyAlignment="1">
      <alignment horizontal="center"/>
    </xf>
    <xf numFmtId="0" fontId="0" fillId="2" borderId="1" xfId="0" applyFont="1" applyFill="1" applyBorder="1" applyAlignment="1" applyProtection="1">
      <alignment horizontal="center"/>
      <protection locked="0"/>
    </xf>
    <xf numFmtId="1" fontId="0" fillId="0" borderId="1" xfId="0" applyNumberFormat="1" applyFont="1" applyFill="1" applyBorder="1" applyAlignment="1" applyProtection="1">
      <alignment horizontal="center"/>
      <protection/>
    </xf>
    <xf numFmtId="1" fontId="0" fillId="0" borderId="4" xfId="0" applyNumberFormat="1" applyFill="1" applyBorder="1" applyAlignment="1">
      <alignment horizontal="center"/>
    </xf>
    <xf numFmtId="1" fontId="0" fillId="0" borderId="1"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192" fontId="0" fillId="0" borderId="0" xfId="0" applyNumberFormat="1" applyAlignment="1">
      <alignment/>
    </xf>
    <xf numFmtId="1" fontId="0" fillId="0" borderId="1" xfId="0" applyNumberFormat="1" applyFill="1" applyBorder="1" applyAlignment="1">
      <alignment horizontal="center"/>
    </xf>
    <xf numFmtId="1" fontId="0" fillId="0" borderId="11" xfId="0" applyNumberFormat="1" applyFill="1" applyBorder="1" applyAlignment="1" applyProtection="1">
      <alignment horizontal="center"/>
      <protection locked="0"/>
    </xf>
    <xf numFmtId="1" fontId="0" fillId="0" borderId="0" xfId="0" applyNumberFormat="1" applyFill="1" applyBorder="1" applyAlignment="1">
      <alignment horizontal="center"/>
    </xf>
    <xf numFmtId="1" fontId="0" fillId="0" borderId="0" xfId="0" applyNumberFormat="1" applyFill="1" applyBorder="1" applyAlignment="1" applyProtection="1">
      <alignment horizontal="center"/>
      <protection locked="0"/>
    </xf>
    <xf numFmtId="0" fontId="17" fillId="0" borderId="0" xfId="0" applyFont="1" applyAlignment="1">
      <alignment horizontal="center"/>
    </xf>
    <xf numFmtId="0" fontId="19" fillId="0" borderId="0" xfId="0" applyFont="1" applyAlignment="1">
      <alignment horizontal="center"/>
    </xf>
    <xf numFmtId="1" fontId="20" fillId="0" borderId="0" xfId="0" applyNumberFormat="1" applyFont="1" applyAlignment="1">
      <alignment horizontal="center"/>
    </xf>
    <xf numFmtId="0" fontId="20" fillId="0" borderId="0" xfId="0" applyFont="1" applyBorder="1" applyAlignment="1">
      <alignment horizontal="center"/>
    </xf>
    <xf numFmtId="0" fontId="21" fillId="0" borderId="0" xfId="0" applyFont="1" applyAlignment="1">
      <alignment horizontal="center"/>
    </xf>
    <xf numFmtId="0" fontId="0" fillId="0" borderId="14" xfId="0" applyBorder="1" applyAlignment="1">
      <alignment/>
    </xf>
    <xf numFmtId="0" fontId="0" fillId="0" borderId="0" xfId="0" applyFill="1" applyBorder="1" applyAlignment="1">
      <alignment horizontal="center"/>
    </xf>
    <xf numFmtId="0" fontId="0" fillId="0" borderId="4" xfId="0" applyBorder="1" applyAlignment="1">
      <alignment/>
    </xf>
    <xf numFmtId="0" fontId="0" fillId="0" borderId="12" xfId="0" applyBorder="1" applyAlignment="1">
      <alignment/>
    </xf>
    <xf numFmtId="0" fontId="0" fillId="0" borderId="3" xfId="0" applyFont="1" applyFill="1" applyBorder="1" applyAlignment="1">
      <alignment/>
    </xf>
    <xf numFmtId="164" fontId="0" fillId="2" borderId="8" xfId="0" applyNumberFormat="1" applyFill="1" applyBorder="1" applyAlignment="1" applyProtection="1">
      <alignment/>
      <protection locked="0"/>
    </xf>
    <xf numFmtId="0" fontId="0" fillId="0" borderId="6" xfId="0" applyBorder="1" applyAlignment="1">
      <alignment horizontal="center"/>
    </xf>
    <xf numFmtId="0" fontId="0" fillId="0" borderId="8" xfId="0" applyBorder="1" applyAlignment="1">
      <alignment horizontal="center"/>
    </xf>
    <xf numFmtId="191" fontId="0" fillId="0" borderId="1" xfId="0" applyNumberFormat="1" applyBorder="1" applyAlignment="1">
      <alignment horizontal="center"/>
    </xf>
    <xf numFmtId="1" fontId="0" fillId="0" borderId="1" xfId="0" applyNumberFormat="1" applyBorder="1" applyAlignment="1">
      <alignment/>
    </xf>
    <xf numFmtId="0" fontId="11" fillId="0" borderId="3" xfId="0" applyFont="1" applyBorder="1" applyAlignment="1">
      <alignment/>
    </xf>
    <xf numFmtId="0" fontId="11" fillId="0" borderId="15" xfId="0" applyFont="1" applyBorder="1" applyAlignment="1">
      <alignment/>
    </xf>
    <xf numFmtId="0" fontId="0" fillId="0" borderId="15" xfId="0" applyBorder="1" applyAlignment="1">
      <alignment horizontal="center"/>
    </xf>
    <xf numFmtId="0" fontId="0" fillId="0" borderId="2" xfId="0" applyBorder="1" applyAlignment="1">
      <alignment/>
    </xf>
    <xf numFmtId="0" fontId="16"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1" fillId="0" borderId="0" xfId="0" applyFont="1" applyFill="1" applyBorder="1" applyAlignment="1">
      <alignment horizontal="center"/>
    </xf>
    <xf numFmtId="0" fontId="14" fillId="0" borderId="14" xfId="0" applyNumberFormat="1" applyFont="1" applyFill="1" applyBorder="1" applyAlignment="1" applyProtection="1">
      <alignment horizontal="center"/>
      <protection locked="0"/>
    </xf>
    <xf numFmtId="0" fontId="1" fillId="0" borderId="0" xfId="0" applyFont="1" applyFill="1" applyAlignment="1">
      <alignment horizontal="center"/>
    </xf>
    <xf numFmtId="0" fontId="1" fillId="0" borderId="0" xfId="0" applyFont="1" applyBorder="1" applyAlignment="1">
      <alignment horizontal="center"/>
    </xf>
    <xf numFmtId="14" fontId="14" fillId="0" borderId="14" xfId="0" applyNumberFormat="1" applyFont="1" applyFill="1" applyBorder="1" applyAlignment="1" applyProtection="1">
      <alignment horizontal="left"/>
      <protection locked="0"/>
    </xf>
    <xf numFmtId="0" fontId="14" fillId="0" borderId="14" xfId="0" applyNumberFormat="1" applyFont="1" applyFill="1" applyBorder="1" applyAlignment="1" applyProtection="1">
      <alignment horizontal="left"/>
      <protection locked="0"/>
    </xf>
    <xf numFmtId="0" fontId="4"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center"/>
    </xf>
    <xf numFmtId="0" fontId="4" fillId="0" borderId="0" xfId="19" applyFont="1" applyAlignment="1">
      <alignment horizontal="center"/>
      <protection/>
    </xf>
    <xf numFmtId="167" fontId="4" fillId="0" borderId="0" xfId="19" applyNumberFormat="1" applyFont="1" applyAlignment="1">
      <alignment horizontal="center"/>
      <protection/>
    </xf>
    <xf numFmtId="0" fontId="4" fillId="0" borderId="0" xfId="0" applyFont="1" applyBorder="1" applyAlignment="1">
      <alignment horizontal="center"/>
    </xf>
    <xf numFmtId="0" fontId="5" fillId="0" borderId="0" xfId="19" applyAlignment="1">
      <alignment horizontal="center"/>
      <protection/>
    </xf>
    <xf numFmtId="167" fontId="5" fillId="0" borderId="0" xfId="19" applyNumberFormat="1" applyAlignment="1">
      <alignment horizontal="center"/>
      <protection/>
    </xf>
    <xf numFmtId="0" fontId="5" fillId="0" borderId="0" xfId="19">
      <alignment/>
      <protection/>
    </xf>
    <xf numFmtId="0" fontId="0" fillId="0" borderId="0" xfId="0" applyFont="1" applyBorder="1" applyAlignment="1">
      <alignment horizontal="center"/>
    </xf>
    <xf numFmtId="0" fontId="5" fillId="0" borderId="0" xfId="19" applyFont="1" applyAlignment="1">
      <alignment horizontal="center"/>
      <protection/>
    </xf>
    <xf numFmtId="167" fontId="5" fillId="0" borderId="0" xfId="19" applyNumberFormat="1" applyFont="1" applyAlignment="1">
      <alignment horizontal="center"/>
      <protection/>
    </xf>
    <xf numFmtId="167" fontId="23" fillId="0" borderId="0" xfId="19" applyNumberFormat="1" applyFont="1" applyAlignment="1">
      <alignment horizontal="center"/>
      <protection/>
    </xf>
    <xf numFmtId="0" fontId="23" fillId="0" borderId="0" xfId="19" applyFont="1">
      <alignment/>
      <protection/>
    </xf>
    <xf numFmtId="0" fontId="0" fillId="0" borderId="4" xfId="0" applyFill="1" applyBorder="1" applyAlignment="1">
      <alignment horizontal="center"/>
    </xf>
    <xf numFmtId="164" fontId="0" fillId="0" borderId="1" xfId="0" applyNumberFormat="1" applyFill="1" applyBorder="1" applyAlignment="1" applyProtection="1">
      <alignment horizontal="center"/>
      <protection locked="0"/>
    </xf>
    <xf numFmtId="164" fontId="0" fillId="0" borderId="1" xfId="0" applyNumberFormat="1" applyFill="1" applyBorder="1" applyAlignment="1" applyProtection="1">
      <alignment/>
      <protection locked="0"/>
    </xf>
    <xf numFmtId="2" fontId="0" fillId="0" borderId="1" xfId="0" applyNumberFormat="1" applyFill="1" applyBorder="1" applyAlignment="1" applyProtection="1">
      <alignment horizontal="center"/>
      <protection locked="0"/>
    </xf>
    <xf numFmtId="164" fontId="0" fillId="0" borderId="1" xfId="0" applyNumberFormat="1" applyFill="1" applyBorder="1" applyAlignment="1">
      <alignment horizontal="center"/>
    </xf>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167" fontId="0" fillId="0" borderId="5" xfId="0" applyNumberFormat="1" applyFill="1" applyBorder="1" applyAlignment="1" applyProtection="1">
      <alignment horizontal="center"/>
      <protection locked="0"/>
    </xf>
    <xf numFmtId="164" fontId="0" fillId="0" borderId="1" xfId="0" applyNumberFormat="1" applyFont="1" applyFill="1" applyBorder="1" applyAlignment="1" applyProtection="1">
      <alignment horizontal="center"/>
      <protection locked="0"/>
    </xf>
    <xf numFmtId="0" fontId="0" fillId="0" borderId="12" xfId="0" applyFill="1" applyBorder="1" applyAlignment="1">
      <alignment horizontal="center"/>
    </xf>
    <xf numFmtId="0" fontId="0" fillId="0" borderId="11" xfId="0" applyFill="1" applyBorder="1" applyAlignment="1">
      <alignment horizontal="center"/>
    </xf>
    <xf numFmtId="167" fontId="0" fillId="0" borderId="4" xfId="0" applyNumberFormat="1" applyFill="1" applyBorder="1" applyAlignment="1" applyProtection="1">
      <alignment/>
      <protection locked="0"/>
    </xf>
    <xf numFmtId="164" fontId="1" fillId="0" borderId="1" xfId="0" applyNumberFormat="1" applyFont="1" applyFill="1" applyBorder="1" applyAlignment="1" applyProtection="1">
      <alignment horizontal="center"/>
      <protection locked="0"/>
    </xf>
    <xf numFmtId="172" fontId="0" fillId="0" borderId="1" xfId="0" applyNumberFormat="1" applyFont="1" applyFill="1" applyBorder="1" applyAlignment="1" applyProtection="1">
      <alignment horizontal="center"/>
      <protection/>
    </xf>
    <xf numFmtId="164" fontId="0" fillId="0" borderId="1" xfId="0" applyNumberFormat="1" applyFont="1" applyFill="1" applyBorder="1" applyAlignment="1" applyProtection="1">
      <alignment horizontal="center"/>
      <protection/>
    </xf>
    <xf numFmtId="164" fontId="1" fillId="0" borderId="5" xfId="0" applyNumberFormat="1" applyFont="1" applyFill="1" applyBorder="1" applyAlignment="1" applyProtection="1">
      <alignment/>
      <protection locked="0"/>
    </xf>
    <xf numFmtId="164" fontId="4" fillId="0" borderId="0" xfId="0" applyNumberFormat="1" applyFont="1" applyFill="1" applyBorder="1" applyAlignment="1">
      <alignment horizontal="center"/>
    </xf>
    <xf numFmtId="164" fontId="0" fillId="0" borderId="0" xfId="0" applyNumberFormat="1" applyFill="1" applyBorder="1" applyAlignment="1" applyProtection="1">
      <alignment horizontal="center"/>
      <protection locked="0"/>
    </xf>
    <xf numFmtId="2" fontId="0" fillId="0" borderId="0" xfId="0" applyNumberFormat="1" applyFill="1" applyBorder="1" applyAlignment="1">
      <alignment horizontal="center"/>
    </xf>
    <xf numFmtId="167" fontId="0" fillId="0" borderId="0" xfId="0" applyNumberFormat="1" applyFill="1" applyBorder="1" applyAlignment="1">
      <alignment horizontal="center"/>
    </xf>
    <xf numFmtId="167" fontId="0" fillId="0" borderId="0" xfId="0" applyNumberFormat="1" applyFont="1" applyFill="1" applyBorder="1" applyAlignment="1" applyProtection="1">
      <alignment/>
      <protection locked="0"/>
    </xf>
    <xf numFmtId="164" fontId="0" fillId="0" borderId="10" xfId="0" applyNumberFormat="1" applyFill="1" applyBorder="1" applyAlignment="1" applyProtection="1">
      <alignment/>
      <protection locked="0"/>
    </xf>
    <xf numFmtId="0" fontId="0" fillId="0" borderId="4" xfId="0" applyFont="1" applyFill="1" applyBorder="1" applyAlignment="1">
      <alignment horizontal="center"/>
    </xf>
    <xf numFmtId="167" fontId="0" fillId="0" borderId="1" xfId="0" applyNumberFormat="1" applyFill="1" applyBorder="1" applyAlignment="1" applyProtection="1">
      <alignment horizontal="center"/>
      <protection locked="0"/>
    </xf>
    <xf numFmtId="2" fontId="0" fillId="0" borderId="1" xfId="0" applyNumberFormat="1" applyFont="1" applyFill="1" applyBorder="1" applyAlignment="1" applyProtection="1">
      <alignment horizontal="center"/>
      <protection locked="0"/>
    </xf>
    <xf numFmtId="164" fontId="0" fillId="0" borderId="5" xfId="0" applyNumberFormat="1" applyFill="1" applyBorder="1" applyAlignment="1" applyProtection="1">
      <alignment/>
      <protection locked="0"/>
    </xf>
    <xf numFmtId="164" fontId="0" fillId="0" borderId="0" xfId="0" applyNumberFormat="1" applyFont="1" applyFill="1" applyBorder="1" applyAlignment="1" applyProtection="1">
      <alignment horizontal="center"/>
      <protection locked="0"/>
    </xf>
    <xf numFmtId="167" fontId="0" fillId="0" borderId="0" xfId="0" applyNumberFormat="1" applyFill="1" applyBorder="1" applyAlignment="1" applyProtection="1">
      <alignment horizontal="center"/>
      <protection locked="0"/>
    </xf>
    <xf numFmtId="164" fontId="0" fillId="0" borderId="10" xfId="0" applyNumberFormat="1" applyFill="1" applyBorder="1" applyAlignment="1" applyProtection="1">
      <alignment horizontal="center"/>
      <protection locked="0"/>
    </xf>
    <xf numFmtId="0" fontId="0" fillId="0" borderId="12" xfId="0" applyFont="1" applyFill="1" applyBorder="1" applyAlignment="1">
      <alignment horizontal="center"/>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Alignment="1">
      <alignment/>
    </xf>
    <xf numFmtId="0" fontId="24" fillId="0" borderId="16" xfId="0" applyFont="1" applyFill="1" applyBorder="1" applyAlignment="1">
      <alignment/>
    </xf>
    <xf numFmtId="0" fontId="26" fillId="0" borderId="0" xfId="0" applyFont="1" applyBorder="1" applyAlignment="1" quotePrefix="1">
      <alignment/>
    </xf>
    <xf numFmtId="0" fontId="4" fillId="0" borderId="1"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0" xfId="0" applyFont="1" applyAlignment="1">
      <alignment/>
    </xf>
    <xf numFmtId="167" fontId="0" fillId="0" borderId="1" xfId="0" applyNumberFormat="1" applyFont="1" applyFill="1" applyBorder="1" applyAlignment="1" applyProtection="1">
      <alignment/>
      <protection locked="0"/>
    </xf>
    <xf numFmtId="167" fontId="0" fillId="0" borderId="1" xfId="0" applyNumberFormat="1" applyFill="1" applyBorder="1" applyAlignment="1" applyProtection="1">
      <alignment/>
      <protection locked="0"/>
    </xf>
    <xf numFmtId="2" fontId="0" fillId="0" borderId="3" xfId="0" applyNumberFormat="1" applyFill="1" applyBorder="1" applyAlignment="1">
      <alignment horizontal="center"/>
    </xf>
    <xf numFmtId="164" fontId="0" fillId="0" borderId="2" xfId="0" applyNumberFormat="1" applyFill="1" applyBorder="1" applyAlignment="1" applyProtection="1">
      <alignment horizontal="center"/>
      <protection locked="0"/>
    </xf>
    <xf numFmtId="167" fontId="0" fillId="0" borderId="6" xfId="0" applyNumberFormat="1" applyFill="1" applyBorder="1" applyAlignment="1">
      <alignment horizontal="center"/>
    </xf>
    <xf numFmtId="167" fontId="0" fillId="0" borderId="16" xfId="0" applyNumberFormat="1" applyFill="1" applyBorder="1" applyAlignment="1">
      <alignment horizontal="center"/>
    </xf>
    <xf numFmtId="2" fontId="0" fillId="0" borderId="1" xfId="0" applyNumberFormat="1" applyFill="1" applyBorder="1" applyAlignment="1">
      <alignment/>
    </xf>
    <xf numFmtId="2" fontId="0" fillId="0" borderId="1" xfId="0" applyNumberFormat="1" applyFill="1" applyBorder="1" applyAlignment="1" applyProtection="1">
      <alignment/>
      <protection/>
    </xf>
    <xf numFmtId="2" fontId="0" fillId="0" borderId="1" xfId="0" applyNumberFormat="1" applyBorder="1" applyAlignment="1">
      <alignment/>
    </xf>
    <xf numFmtId="0" fontId="20" fillId="0" borderId="14" xfId="0" applyFont="1" applyBorder="1" applyAlignment="1" applyProtection="1">
      <alignment horizontal="center"/>
      <protection locked="0"/>
    </xf>
    <xf numFmtId="0" fontId="20" fillId="0" borderId="2" xfId="0" applyFont="1" applyBorder="1" applyAlignment="1" applyProtection="1">
      <alignment horizontal="center"/>
      <protection locked="0"/>
    </xf>
    <xf numFmtId="164" fontId="0" fillId="0"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8" fillId="0" borderId="0" xfId="0" applyFont="1" applyFill="1" applyAlignment="1" applyProtection="1">
      <alignment horizontal="center"/>
      <protection/>
    </xf>
    <xf numFmtId="0" fontId="14" fillId="0" borderId="0" xfId="0" applyFont="1" applyAlignment="1">
      <alignment/>
    </xf>
    <xf numFmtId="0" fontId="27" fillId="0" borderId="0" xfId="0" applyFont="1" applyAlignment="1">
      <alignment/>
    </xf>
    <xf numFmtId="0" fontId="17" fillId="0" borderId="0" xfId="0" applyFont="1" applyBorder="1" applyAlignment="1">
      <alignment horizontal="center"/>
    </xf>
    <xf numFmtId="14" fontId="28" fillId="0" borderId="0" xfId="0" applyNumberFormat="1" applyFont="1" applyAlignment="1">
      <alignment/>
    </xf>
    <xf numFmtId="0" fontId="18" fillId="0" borderId="0" xfId="0" applyFont="1" applyBorder="1" applyAlignment="1">
      <alignment/>
    </xf>
    <xf numFmtId="1" fontId="20" fillId="0" borderId="0" xfId="0" applyNumberFormat="1" applyFont="1" applyBorder="1" applyAlignment="1">
      <alignment horizontal="center"/>
    </xf>
    <xf numFmtId="0" fontId="20" fillId="0" borderId="0" xfId="0" applyFont="1" applyBorder="1" applyAlignment="1">
      <alignment/>
    </xf>
    <xf numFmtId="14" fontId="0" fillId="0" borderId="0" xfId="0" applyNumberFormat="1" applyBorder="1" applyAlignment="1">
      <alignment/>
    </xf>
    <xf numFmtId="14" fontId="28" fillId="0" borderId="0" xfId="0" applyNumberFormat="1" applyFont="1" applyBorder="1" applyAlignment="1">
      <alignment/>
    </xf>
    <xf numFmtId="0" fontId="12" fillId="0" borderId="0" xfId="0" applyFont="1" applyBorder="1" applyAlignment="1">
      <alignment/>
    </xf>
    <xf numFmtId="0" fontId="19" fillId="0" borderId="0" xfId="0" applyFont="1" applyBorder="1" applyAlignment="1">
      <alignment horizontal="center"/>
    </xf>
    <xf numFmtId="0" fontId="21" fillId="0" borderId="0" xfId="0" applyFont="1" applyBorder="1" applyAlignment="1">
      <alignment horizontal="center"/>
    </xf>
    <xf numFmtId="164" fontId="0" fillId="0" borderId="0" xfId="0" applyNumberFormat="1" applyFont="1" applyBorder="1" applyAlignment="1">
      <alignment horizontal="center"/>
    </xf>
    <xf numFmtId="0" fontId="11" fillId="0" borderId="3" xfId="0" applyFont="1" applyBorder="1" applyAlignment="1">
      <alignment horizontal="center"/>
    </xf>
    <xf numFmtId="0" fontId="11" fillId="0" borderId="2" xfId="0" applyFont="1" applyFill="1" applyBorder="1" applyAlignment="1">
      <alignment horizontal="center"/>
    </xf>
    <xf numFmtId="0" fontId="11" fillId="0" borderId="1" xfId="0" applyFont="1" applyFill="1" applyBorder="1" applyAlignment="1">
      <alignment horizontal="center"/>
    </xf>
    <xf numFmtId="0" fontId="4" fillId="0" borderId="14" xfId="0" applyFont="1" applyBorder="1" applyAlignment="1">
      <alignment horizontal="center"/>
    </xf>
    <xf numFmtId="0" fontId="6" fillId="0" borderId="0" xfId="0" applyFont="1" applyAlignment="1">
      <alignment/>
    </xf>
    <xf numFmtId="0" fontId="4" fillId="2" borderId="1" xfId="0" applyFont="1" applyFill="1" applyBorder="1" applyAlignment="1" applyProtection="1">
      <alignment horizontal="center" wrapText="1"/>
      <protection locked="0"/>
    </xf>
    <xf numFmtId="188" fontId="0" fillId="0" borderId="3" xfId="0" applyNumberFormat="1" applyFont="1" applyFill="1" applyBorder="1" applyAlignment="1" applyProtection="1">
      <alignment horizontal="center"/>
      <protection locked="0"/>
    </xf>
    <xf numFmtId="14" fontId="28" fillId="0" borderId="0" xfId="0" applyNumberFormat="1" applyFont="1" applyBorder="1" applyAlignment="1">
      <alignment horizontal="center"/>
    </xf>
    <xf numFmtId="0" fontId="0" fillId="0" borderId="1" xfId="0"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164" fontId="0" fillId="0" borderId="8" xfId="0" applyNumberFormat="1" applyFill="1" applyBorder="1" applyAlignment="1" applyProtection="1">
      <alignment/>
      <protection locked="0"/>
    </xf>
    <xf numFmtId="188" fontId="0" fillId="0" borderId="1" xfId="0" applyNumberForma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0" fontId="13" fillId="3" borderId="13" xfId="0" applyFont="1" applyFill="1" applyBorder="1" applyAlignment="1">
      <alignment/>
    </xf>
    <xf numFmtId="0" fontId="13" fillId="3" borderId="14" xfId="0" applyFont="1" applyFill="1" applyBorder="1" applyAlignment="1">
      <alignment/>
    </xf>
    <xf numFmtId="0" fontId="0" fillId="3" borderId="9" xfId="0" applyFont="1" applyFill="1" applyBorder="1" applyAlignment="1">
      <alignment horizontal="center"/>
    </xf>
    <xf numFmtId="0" fontId="0" fillId="3" borderId="8" xfId="0" applyFont="1" applyFill="1" applyBorder="1" applyAlignment="1">
      <alignment horizontal="center"/>
    </xf>
    <xf numFmtId="0" fontId="14" fillId="0" borderId="11" xfId="0" applyFont="1" applyFill="1" applyBorder="1" applyAlignment="1">
      <alignment horizontal="center"/>
    </xf>
    <xf numFmtId="0" fontId="19" fillId="0" borderId="14" xfId="0" applyFont="1" applyBorder="1" applyAlignment="1">
      <alignment horizontal="center"/>
    </xf>
    <xf numFmtId="1" fontId="20" fillId="0" borderId="14" xfId="0" applyNumberFormat="1" applyFont="1" applyBorder="1" applyAlignment="1">
      <alignment horizontal="center"/>
    </xf>
    <xf numFmtId="0" fontId="19" fillId="0" borderId="2" xfId="0" applyFont="1" applyBorder="1" applyAlignment="1">
      <alignment horizontal="center"/>
    </xf>
    <xf numFmtId="1" fontId="20" fillId="0" borderId="2" xfId="0" applyNumberFormat="1" applyFont="1" applyBorder="1" applyAlignment="1">
      <alignment horizontal="center"/>
    </xf>
    <xf numFmtId="0" fontId="1" fillId="0" borderId="14" xfId="0" applyFont="1" applyFill="1" applyBorder="1" applyAlignment="1">
      <alignment horizontal="center"/>
    </xf>
    <xf numFmtId="0" fontId="13" fillId="0" borderId="6" xfId="0" applyFont="1" applyFill="1" applyBorder="1" applyAlignment="1">
      <alignment/>
    </xf>
    <xf numFmtId="0" fontId="13" fillId="0" borderId="7" xfId="0" applyFont="1" applyFill="1" applyBorder="1" applyAlignment="1">
      <alignment/>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4" xfId="0" applyFill="1" applyBorder="1" applyAlignment="1" applyProtection="1">
      <alignment horizontal="center"/>
      <protection locked="0"/>
    </xf>
    <xf numFmtId="0" fontId="14" fillId="0" borderId="14" xfId="0" applyFont="1" applyBorder="1" applyAlignment="1" applyProtection="1">
      <alignment horizontal="center"/>
      <protection locked="0"/>
    </xf>
    <xf numFmtId="172" fontId="0" fillId="0" borderId="1" xfId="0" applyNumberFormat="1" applyFont="1" applyFill="1" applyBorder="1" applyAlignment="1" applyProtection="1">
      <alignment horizontal="center"/>
      <protection locked="0"/>
    </xf>
    <xf numFmtId="0" fontId="11" fillId="0" borderId="3" xfId="0" applyFont="1" applyFill="1" applyBorder="1" applyAlignment="1">
      <alignment horizontal="center"/>
    </xf>
    <xf numFmtId="0" fontId="0" fillId="0" borderId="3" xfId="0" applyFill="1" applyBorder="1" applyAlignment="1">
      <alignment horizontal="center"/>
    </xf>
    <xf numFmtId="7" fontId="0" fillId="2" borderId="1" xfId="17" applyNumberFormat="1" applyFont="1" applyFill="1" applyBorder="1" applyAlignment="1" applyProtection="1">
      <alignment/>
      <protection locked="0"/>
    </xf>
    <xf numFmtId="37" fontId="0" fillId="2" borderId="1" xfId="17" applyNumberFormat="1" applyFont="1" applyFill="1" applyBorder="1" applyAlignment="1" applyProtection="1">
      <alignment/>
      <protection locked="0"/>
    </xf>
    <xf numFmtId="0" fontId="0" fillId="2" borderId="1" xfId="17" applyNumberFormat="1" applyFont="1" applyFill="1" applyBorder="1" applyAlignment="1" applyProtection="1">
      <alignment horizontal="center"/>
      <protection locked="0"/>
    </xf>
    <xf numFmtId="193" fontId="0" fillId="0" borderId="1" xfId="0" applyNumberFormat="1" applyFont="1" applyFill="1" applyBorder="1" applyAlignment="1" applyProtection="1">
      <alignment horizontal="center"/>
      <protection locked="0"/>
    </xf>
    <xf numFmtId="7" fontId="0" fillId="0" borderId="1" xfId="17" applyNumberFormat="1" applyFont="1" applyFill="1" applyBorder="1" applyAlignment="1" applyProtection="1">
      <alignment/>
      <protection locked="0"/>
    </xf>
    <xf numFmtId="37" fontId="0" fillId="0" borderId="1" xfId="17" applyNumberFormat="1" applyFont="1" applyFill="1" applyBorder="1" applyAlignment="1" applyProtection="1">
      <alignment/>
      <protection locked="0"/>
    </xf>
    <xf numFmtId="0" fontId="0" fillId="0" borderId="1" xfId="17" applyNumberFormat="1"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14" fontId="11" fillId="0" borderId="1" xfId="0" applyNumberFormat="1" applyFont="1" applyFill="1" applyBorder="1" applyAlignment="1" applyProtection="1">
      <alignment horizontal="center"/>
      <protection locked="0"/>
    </xf>
    <xf numFmtId="0" fontId="11" fillId="0" borderId="1" xfId="0" applyFont="1" applyFill="1" applyBorder="1" applyAlignment="1" applyProtection="1">
      <alignment horizontal="center"/>
      <protection locked="0"/>
    </xf>
    <xf numFmtId="0" fontId="11" fillId="0" borderId="12" xfId="0" applyFont="1" applyFill="1" applyBorder="1" applyAlignment="1" applyProtection="1">
      <alignment/>
      <protection locked="0"/>
    </xf>
    <xf numFmtId="0" fontId="14" fillId="0" borderId="1" xfId="0" applyFont="1" applyFill="1" applyBorder="1" applyAlignment="1" applyProtection="1">
      <alignment horizontal="center"/>
      <protection/>
    </xf>
    <xf numFmtId="0" fontId="11" fillId="0" borderId="1" xfId="0" applyFont="1" applyFill="1" applyBorder="1" applyAlignment="1" applyProtection="1">
      <alignment horizontal="center"/>
      <protection/>
    </xf>
    <xf numFmtId="41" fontId="11" fillId="0" borderId="1" xfId="17" applyNumberFormat="1" applyFont="1" applyFill="1" applyBorder="1" applyAlignment="1" applyProtection="1">
      <alignment/>
      <protection locked="0"/>
    </xf>
    <xf numFmtId="7" fontId="11" fillId="0" borderId="1" xfId="17" applyNumberFormat="1" applyFont="1" applyFill="1" applyBorder="1" applyAlignment="1" applyProtection="1">
      <alignment horizontal="center"/>
      <protection locked="0"/>
    </xf>
    <xf numFmtId="0" fontId="14" fillId="0" borderId="4" xfId="0" applyFont="1" applyFill="1" applyBorder="1" applyAlignment="1">
      <alignment horizontal="center"/>
    </xf>
    <xf numFmtId="0" fontId="0" fillId="0" borderId="17" xfId="0" applyBorder="1" applyAlignment="1">
      <alignment/>
    </xf>
    <xf numFmtId="0" fontId="0" fillId="0" borderId="0" xfId="0" applyBorder="1" applyAlignment="1" applyProtection="1">
      <alignment horizontal="center"/>
      <protection locked="0"/>
    </xf>
    <xf numFmtId="0" fontId="16" fillId="0" borderId="0" xfId="0" applyFont="1" applyBorder="1" applyAlignment="1">
      <alignment horizontal="center"/>
    </xf>
    <xf numFmtId="0" fontId="16" fillId="0" borderId="0" xfId="0" applyFont="1" applyAlignment="1">
      <alignment horizontal="center"/>
    </xf>
    <xf numFmtId="14" fontId="28" fillId="0" borderId="0" xfId="0" applyNumberFormat="1" applyFont="1" applyAlignment="1">
      <alignment shrinkToFit="1"/>
    </xf>
    <xf numFmtId="14" fontId="6" fillId="0" borderId="0" xfId="0" applyNumberFormat="1" applyFont="1" applyAlignment="1">
      <alignment horizontal="left" vertical="center"/>
    </xf>
    <xf numFmtId="186" fontId="0" fillId="0" borderId="0" xfId="0" applyNumberFormat="1" applyAlignment="1">
      <alignment/>
    </xf>
    <xf numFmtId="0" fontId="18" fillId="0" borderId="0" xfId="0" applyFont="1" applyBorder="1" applyAlignment="1" applyProtection="1">
      <alignment horizontal="center"/>
      <protection locked="0"/>
    </xf>
    <xf numFmtId="175" fontId="18" fillId="0" borderId="0" xfId="0" applyNumberFormat="1" applyFont="1" applyFill="1" applyBorder="1" applyAlignment="1" applyProtection="1">
      <alignment horizontal="center"/>
      <protection locked="0"/>
    </xf>
    <xf numFmtId="0" fontId="31" fillId="0" borderId="0" xfId="0" applyFont="1" applyAlignment="1">
      <alignment horizontal="center"/>
    </xf>
    <xf numFmtId="0" fontId="32" fillId="0" borderId="0" xfId="0" applyFont="1" applyAlignment="1">
      <alignment/>
    </xf>
    <xf numFmtId="0" fontId="1" fillId="0" borderId="0" xfId="0" applyFont="1" applyAlignment="1">
      <alignment/>
    </xf>
    <xf numFmtId="0" fontId="20" fillId="0" borderId="0" xfId="0" applyFont="1" applyBorder="1" applyAlignment="1" applyProtection="1">
      <alignment horizontal="center"/>
      <protection locked="0"/>
    </xf>
    <xf numFmtId="14"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2" fontId="0" fillId="0" borderId="0" xfId="17" applyNumberFormat="1" applyFont="1" applyFill="1" applyBorder="1" applyAlignment="1" applyProtection="1">
      <alignment/>
      <protection locked="0"/>
    </xf>
    <xf numFmtId="169" fontId="0" fillId="0" borderId="1" xfId="0" applyNumberFormat="1" applyFill="1" applyBorder="1" applyAlignment="1" applyProtection="1">
      <alignment horizontal="center"/>
      <protection locked="0"/>
    </xf>
    <xf numFmtId="0" fontId="0" fillId="0" borderId="12" xfId="0" applyFill="1" applyBorder="1" applyAlignment="1">
      <alignment/>
    </xf>
    <xf numFmtId="0" fontId="10" fillId="0" borderId="3" xfId="0" applyFont="1" applyFill="1" applyBorder="1" applyAlignment="1" applyProtection="1">
      <alignment horizontal="center"/>
      <protection locked="0"/>
    </xf>
    <xf numFmtId="0" fontId="14" fillId="0" borderId="6" xfId="0" applyFont="1" applyBorder="1" applyAlignment="1" applyProtection="1">
      <alignment horizontal="center"/>
      <protection/>
    </xf>
    <xf numFmtId="0" fontId="4" fillId="0" borderId="13" xfId="0" applyFont="1" applyBorder="1" applyAlignment="1" applyProtection="1">
      <alignment horizontal="center"/>
      <protection/>
    </xf>
    <xf numFmtId="0" fontId="4" fillId="0" borderId="7" xfId="0" applyFont="1" applyBorder="1" applyAlignment="1" applyProtection="1">
      <alignment horizontal="center"/>
      <protection/>
    </xf>
    <xf numFmtId="164" fontId="0" fillId="0" borderId="4" xfId="0" applyNumberFormat="1" applyBorder="1" applyAlignment="1" applyProtection="1">
      <alignment/>
      <protection locked="0"/>
    </xf>
    <xf numFmtId="164" fontId="0" fillId="0" borderId="1" xfId="0" applyNumberFormat="1" applyBorder="1" applyAlignment="1" applyProtection="1">
      <alignment/>
      <protection locked="0"/>
    </xf>
    <xf numFmtId="0" fontId="0" fillId="0" borderId="6" xfId="0" applyBorder="1" applyAlignment="1" applyProtection="1">
      <alignment/>
      <protection/>
    </xf>
    <xf numFmtId="1" fontId="0" fillId="0" borderId="13" xfId="0" applyNumberFormat="1" applyFill="1" applyBorder="1" applyAlignment="1" applyProtection="1">
      <alignment/>
      <protection/>
    </xf>
    <xf numFmtId="167" fontId="0" fillId="0" borderId="13" xfId="0" applyNumberFormat="1" applyFill="1" applyBorder="1" applyAlignment="1" applyProtection="1">
      <alignment/>
      <protection/>
    </xf>
    <xf numFmtId="175" fontId="0" fillId="0" borderId="13" xfId="0" applyNumberFormat="1" applyFill="1" applyBorder="1" applyAlignment="1" applyProtection="1">
      <alignment/>
      <protection/>
    </xf>
    <xf numFmtId="2" fontId="0" fillId="0" borderId="7" xfId="0" applyNumberFormat="1" applyFill="1" applyBorder="1" applyAlignment="1" applyProtection="1">
      <alignment/>
      <protection/>
    </xf>
    <xf numFmtId="0" fontId="10" fillId="0" borderId="3"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Fill="1" applyBorder="1" applyAlignment="1" applyProtection="1">
      <alignment horizontal="center"/>
      <protection locked="0"/>
    </xf>
    <xf numFmtId="0" fontId="11" fillId="0" borderId="0" xfId="0" applyFont="1" applyBorder="1" applyAlignment="1">
      <alignment horizontal="center"/>
    </xf>
    <xf numFmtId="41" fontId="11" fillId="0" borderId="0" xfId="17" applyNumberFormat="1" applyFont="1" applyFill="1" applyBorder="1" applyAlignment="1" applyProtection="1">
      <alignment/>
      <protection locked="0"/>
    </xf>
    <xf numFmtId="7" fontId="11" fillId="0" borderId="0" xfId="17" applyNumberFormat="1" applyFont="1" applyFill="1" applyBorder="1" applyAlignment="1" applyProtection="1">
      <alignment horizontal="center"/>
      <protection locked="0"/>
    </xf>
    <xf numFmtId="41" fontId="0" fillId="0" borderId="0" xfId="17" applyNumberFormat="1" applyFont="1" applyFill="1" applyBorder="1" applyAlignment="1" applyProtection="1">
      <alignment/>
      <protection locked="0"/>
    </xf>
    <xf numFmtId="0" fontId="0" fillId="2" borderId="1" xfId="0" applyFill="1" applyBorder="1" applyAlignment="1" applyProtection="1">
      <alignment horizontal="center" vertical="center"/>
      <protection locked="0"/>
    </xf>
    <xf numFmtId="1" fontId="0" fillId="2" borderId="1" xfId="0" applyNumberFormat="1" applyFont="1" applyFill="1" applyBorder="1" applyAlignment="1" applyProtection="1">
      <alignment horizontal="center" vertical="center"/>
      <protection locked="0"/>
    </xf>
    <xf numFmtId="0" fontId="0" fillId="0" borderId="0" xfId="0" applyAlignment="1">
      <alignment horizontal="left"/>
    </xf>
    <xf numFmtId="0" fontId="14" fillId="2" borderId="12" xfId="0" applyFont="1" applyFill="1" applyBorder="1" applyAlignment="1" applyProtection="1">
      <alignment horizontal="center"/>
      <protection locked="0"/>
    </xf>
    <xf numFmtId="0" fontId="14" fillId="0" borderId="12" xfId="0" applyFont="1" applyBorder="1" applyAlignment="1">
      <alignment horizontal="center"/>
    </xf>
    <xf numFmtId="0" fontId="0" fillId="3" borderId="7" xfId="0" applyFill="1" applyBorder="1" applyAlignment="1">
      <alignment/>
    </xf>
    <xf numFmtId="1" fontId="0" fillId="0" borderId="10" xfId="0" applyNumberFormat="1" applyBorder="1" applyAlignment="1">
      <alignment/>
    </xf>
    <xf numFmtId="1" fontId="0" fillId="3" borderId="11" xfId="0" applyNumberFormat="1" applyFill="1" applyBorder="1" applyAlignment="1">
      <alignment/>
    </xf>
    <xf numFmtId="1" fontId="0" fillId="3" borderId="10" xfId="0" applyNumberFormat="1" applyFill="1" applyBorder="1" applyAlignment="1">
      <alignment/>
    </xf>
    <xf numFmtId="0" fontId="14" fillId="4" borderId="0" xfId="0" applyFont="1" applyFill="1" applyBorder="1" applyAlignment="1" applyProtection="1">
      <alignment horizontal="left"/>
      <protection hidden="1"/>
    </xf>
    <xf numFmtId="0" fontId="14" fillId="4" borderId="0" xfId="0" applyFont="1" applyFill="1" applyBorder="1" applyAlignment="1" applyProtection="1">
      <alignment/>
      <protection hidden="1"/>
    </xf>
    <xf numFmtId="180" fontId="0" fillId="0" borderId="1" xfId="0" applyNumberFormat="1" applyBorder="1" applyAlignment="1">
      <alignment horizontal="center"/>
    </xf>
    <xf numFmtId="1" fontId="0" fillId="0" borderId="0" xfId="0" applyNumberFormat="1" applyBorder="1" applyAlignment="1">
      <alignment/>
    </xf>
    <xf numFmtId="0" fontId="0" fillId="0" borderId="14" xfId="0" applyBorder="1" applyAlignment="1" applyProtection="1">
      <alignment horizontal="center"/>
      <protection locked="0"/>
    </xf>
    <xf numFmtId="0" fontId="0" fillId="0" borderId="0" xfId="0" applyBorder="1" applyAlignment="1">
      <alignment horizontal="right"/>
    </xf>
    <xf numFmtId="0" fontId="14" fillId="4" borderId="0" xfId="0" applyFont="1" applyFill="1" applyBorder="1" applyAlignment="1" applyProtection="1">
      <alignment horizontal="center" vertical="center"/>
      <protection hidden="1"/>
    </xf>
    <xf numFmtId="0" fontId="0" fillId="0" borderId="0" xfId="0" applyNumberFormat="1" applyAlignment="1">
      <alignment horizontal="center" vertical="center"/>
    </xf>
    <xf numFmtId="0" fontId="0" fillId="0" borderId="1" xfId="0" applyFill="1" applyBorder="1" applyAlignment="1" applyProtection="1">
      <alignment horizontal="center"/>
      <protection hidden="1"/>
    </xf>
    <xf numFmtId="0" fontId="0" fillId="3" borderId="14" xfId="0" applyFont="1" applyFill="1" applyBorder="1" applyAlignment="1">
      <alignment horizontal="center"/>
    </xf>
    <xf numFmtId="0" fontId="4" fillId="0" borderId="4" xfId="0" applyFont="1" applyBorder="1" applyAlignment="1">
      <alignment horizontal="center"/>
    </xf>
    <xf numFmtId="0" fontId="4" fillId="0" borderId="11" xfId="0" applyFont="1" applyFill="1" applyBorder="1" applyAlignment="1" applyProtection="1">
      <alignment horizontal="center"/>
      <protection locked="0"/>
    </xf>
    <xf numFmtId="1" fontId="0" fillId="0" borderId="11" xfId="0" applyNumberFormat="1" applyFill="1" applyBorder="1" applyAlignment="1">
      <alignment/>
    </xf>
    <xf numFmtId="1" fontId="0" fillId="0" borderId="12" xfId="0" applyNumberFormat="1" applyFill="1" applyBorder="1" applyAlignment="1">
      <alignment horizontal="center"/>
    </xf>
    <xf numFmtId="2" fontId="0" fillId="0" borderId="11" xfId="0" applyNumberFormat="1" applyBorder="1" applyAlignment="1">
      <alignment/>
    </xf>
    <xf numFmtId="2" fontId="0" fillId="0" borderId="3" xfId="0" applyNumberFormat="1" applyBorder="1" applyAlignment="1">
      <alignment/>
    </xf>
    <xf numFmtId="0"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2" fontId="0" fillId="0" borderId="5" xfId="0" applyNumberFormat="1" applyFill="1" applyBorder="1" applyAlignment="1" applyProtection="1">
      <alignment/>
      <protection/>
    </xf>
    <xf numFmtId="0" fontId="29" fillId="0" borderId="0" xfId="0" applyFont="1" applyBorder="1" applyAlignment="1">
      <alignment horizontal="left"/>
    </xf>
    <xf numFmtId="0" fontId="0" fillId="0" borderId="11" xfId="0" applyBorder="1" applyAlignment="1">
      <alignment/>
    </xf>
    <xf numFmtId="0" fontId="0" fillId="0" borderId="1" xfId="0" applyBorder="1" applyAlignment="1">
      <alignment/>
    </xf>
    <xf numFmtId="1" fontId="0" fillId="0" borderId="12" xfId="0" applyNumberFormat="1" applyBorder="1" applyAlignment="1">
      <alignment horizontal="center"/>
    </xf>
    <xf numFmtId="1" fontId="0" fillId="0" borderId="11" xfId="0" applyNumberFormat="1" applyBorder="1" applyAlignment="1">
      <alignment horizontal="center"/>
    </xf>
    <xf numFmtId="0" fontId="0" fillId="0" borderId="7" xfId="0" applyFill="1" applyBorder="1" applyAlignment="1">
      <alignment horizontal="center"/>
    </xf>
    <xf numFmtId="1" fontId="0" fillId="0" borderId="10" xfId="0" applyNumberFormat="1" applyBorder="1" applyAlignment="1">
      <alignment horizontal="center"/>
    </xf>
    <xf numFmtId="0" fontId="0" fillId="5" borderId="0" xfId="0" applyFill="1" applyBorder="1" applyAlignment="1">
      <alignment horizontal="center"/>
    </xf>
    <xf numFmtId="2" fontId="0" fillId="0" borderId="1" xfId="0" applyNumberFormat="1" applyFill="1" applyBorder="1" applyAlignment="1" applyProtection="1">
      <alignment horizontal="center"/>
      <protection/>
    </xf>
    <xf numFmtId="2" fontId="0" fillId="0" borderId="5" xfId="0" applyNumberFormat="1" applyFill="1" applyBorder="1" applyAlignment="1" applyProtection="1">
      <alignment horizontal="center"/>
      <protection/>
    </xf>
    <xf numFmtId="0" fontId="0" fillId="3" borderId="18" xfId="0" applyFill="1" applyBorder="1" applyAlignment="1">
      <alignment horizontal="center"/>
    </xf>
    <xf numFmtId="188" fontId="0" fillId="3" borderId="18" xfId="0" applyNumberFormat="1" applyFill="1" applyBorder="1" applyAlignment="1">
      <alignment horizontal="center"/>
    </xf>
    <xf numFmtId="0" fontId="0" fillId="0" borderId="9" xfId="0" applyFill="1" applyBorder="1" applyAlignment="1">
      <alignment horizontal="center"/>
    </xf>
    <xf numFmtId="0" fontId="0" fillId="5" borderId="14" xfId="0" applyFill="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164" fontId="0" fillId="0" borderId="1" xfId="0" applyNumberFormat="1" applyBorder="1" applyAlignment="1">
      <alignment horizontal="center"/>
    </xf>
    <xf numFmtId="164" fontId="0" fillId="0" borderId="11" xfId="0" applyNumberFormat="1" applyBorder="1" applyAlignment="1">
      <alignment horizontal="center"/>
    </xf>
    <xf numFmtId="0" fontId="16" fillId="0" borderId="19" xfId="0" applyFont="1" applyBorder="1" applyAlignment="1">
      <alignment horizontal="center"/>
    </xf>
    <xf numFmtId="0" fontId="31" fillId="0" borderId="20" xfId="0" applyFont="1" applyBorder="1" applyAlignment="1">
      <alignment horizontal="center"/>
    </xf>
    <xf numFmtId="0" fontId="0" fillId="0" borderId="20" xfId="0" applyBorder="1" applyAlignment="1">
      <alignment horizontal="center"/>
    </xf>
    <xf numFmtId="1" fontId="20" fillId="0" borderId="20" xfId="0" applyNumberFormat="1" applyFont="1" applyBorder="1" applyAlignment="1">
      <alignment horizontal="center"/>
    </xf>
    <xf numFmtId="192" fontId="20" fillId="0" borderId="0" xfId="0" applyNumberFormat="1" applyFont="1" applyBorder="1" applyAlignment="1" applyProtection="1">
      <alignment horizontal="center"/>
      <protection locked="0"/>
    </xf>
    <xf numFmtId="0" fontId="14" fillId="0" borderId="1" xfId="0" applyFont="1" applyFill="1" applyBorder="1" applyAlignment="1" applyProtection="1">
      <alignment horizontal="center"/>
      <protection locked="0"/>
    </xf>
    <xf numFmtId="0" fontId="11" fillId="0" borderId="0" xfId="0" applyFont="1" applyFill="1" applyBorder="1" applyAlignment="1">
      <alignment horizontal="center"/>
    </xf>
    <xf numFmtId="1" fontId="0" fillId="0" borderId="1" xfId="0" applyNumberFormat="1" applyFont="1" applyFill="1" applyBorder="1" applyAlignment="1" applyProtection="1">
      <alignment horizontal="center" vertical="center"/>
      <protection locked="0"/>
    </xf>
    <xf numFmtId="0" fontId="14" fillId="0" borderId="1" xfId="0" applyFont="1" applyFill="1" applyBorder="1" applyAlignment="1">
      <alignment horizontal="center"/>
    </xf>
    <xf numFmtId="0" fontId="13" fillId="0" borderId="13" xfId="0" applyFont="1" applyFill="1" applyBorder="1" applyAlignment="1">
      <alignment/>
    </xf>
    <xf numFmtId="0" fontId="11" fillId="0" borderId="0" xfId="0" applyFont="1" applyFill="1" applyBorder="1" applyAlignment="1">
      <alignment/>
    </xf>
    <xf numFmtId="0" fontId="0" fillId="0" borderId="14" xfId="0" applyFont="1" applyFill="1" applyBorder="1" applyAlignment="1">
      <alignment horizontal="center"/>
    </xf>
    <xf numFmtId="0" fontId="0" fillId="0" borderId="10" xfId="0" applyFill="1" applyBorder="1" applyAlignment="1">
      <alignment horizontal="center"/>
    </xf>
    <xf numFmtId="0" fontId="4" fillId="0" borderId="4" xfId="0" applyFont="1" applyFill="1" applyBorder="1" applyAlignment="1">
      <alignment horizontal="center"/>
    </xf>
    <xf numFmtId="0" fontId="14" fillId="0" borderId="12" xfId="0" applyFont="1" applyFill="1" applyBorder="1" applyAlignment="1" applyProtection="1">
      <alignment horizontal="center"/>
      <protection locked="0"/>
    </xf>
    <xf numFmtId="0" fontId="4" fillId="0" borderId="12" xfId="0" applyFont="1" applyFill="1" applyBorder="1" applyAlignment="1">
      <alignment horizontal="center"/>
    </xf>
    <xf numFmtId="2" fontId="0" fillId="0" borderId="3" xfId="0" applyNumberFormat="1" applyFill="1" applyBorder="1" applyAlignment="1">
      <alignment/>
    </xf>
    <xf numFmtId="0" fontId="4" fillId="0" borderId="11" xfId="0" applyFont="1" applyFill="1" applyBorder="1" applyAlignment="1">
      <alignment horizontal="center"/>
    </xf>
    <xf numFmtId="2" fontId="0" fillId="0" borderId="0" xfId="0" applyNumberFormat="1" applyFill="1" applyBorder="1" applyAlignment="1">
      <alignment/>
    </xf>
    <xf numFmtId="0" fontId="14" fillId="0" borderId="12" xfId="0" applyFont="1" applyFill="1" applyBorder="1" applyAlignment="1">
      <alignment horizontal="center"/>
    </xf>
    <xf numFmtId="1" fontId="0" fillId="0" borderId="11" xfId="0" applyNumberFormat="1" applyFill="1" applyBorder="1" applyAlignment="1">
      <alignment horizontal="center"/>
    </xf>
    <xf numFmtId="0" fontId="14" fillId="0" borderId="6"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7" xfId="0" applyFont="1" applyFill="1" applyBorder="1" applyAlignment="1" applyProtection="1">
      <alignment horizontal="center"/>
      <protection/>
    </xf>
    <xf numFmtId="1" fontId="0" fillId="0" borderId="10" xfId="0" applyNumberFormat="1" applyFill="1" applyBorder="1" applyAlignment="1">
      <alignment horizontal="center"/>
    </xf>
    <xf numFmtId="0" fontId="0" fillId="0" borderId="11" xfId="0" applyFill="1" applyBorder="1" applyAlignment="1">
      <alignment/>
    </xf>
    <xf numFmtId="2" fontId="0" fillId="0" borderId="11" xfId="0" applyNumberFormat="1" applyFill="1" applyBorder="1" applyAlignment="1">
      <alignment/>
    </xf>
    <xf numFmtId="0" fontId="14" fillId="0" borderId="0" xfId="0" applyFont="1" applyFill="1" applyBorder="1" applyAlignment="1">
      <alignment horizontal="center"/>
    </xf>
    <xf numFmtId="0" fontId="16" fillId="0" borderId="0" xfId="0" applyFont="1" applyFill="1" applyBorder="1" applyAlignment="1">
      <alignment horizontal="center"/>
    </xf>
    <xf numFmtId="0" fontId="16" fillId="0" borderId="19" xfId="0" applyFont="1" applyFill="1" applyBorder="1" applyAlignment="1">
      <alignment horizontal="center"/>
    </xf>
    <xf numFmtId="0" fontId="29" fillId="0" borderId="0" xfId="0" applyFont="1" applyFill="1" applyBorder="1" applyAlignment="1">
      <alignment horizontal="left"/>
    </xf>
    <xf numFmtId="14" fontId="28" fillId="0" borderId="0" xfId="0" applyNumberFormat="1" applyFont="1" applyFill="1" applyBorder="1" applyAlignment="1">
      <alignment/>
    </xf>
    <xf numFmtId="14" fontId="28" fillId="0" borderId="0" xfId="0" applyNumberFormat="1" applyFont="1" applyFill="1" applyBorder="1" applyAlignment="1">
      <alignment horizontal="center"/>
    </xf>
    <xf numFmtId="0" fontId="0" fillId="0" borderId="1" xfId="0" applyFill="1" applyBorder="1" applyAlignment="1" applyProtection="1">
      <alignment horizontal="center" vertical="center"/>
      <protection locked="0"/>
    </xf>
    <xf numFmtId="0" fontId="0" fillId="0" borderId="6" xfId="0" applyFill="1" applyBorder="1" applyAlignment="1">
      <alignment horizontal="center"/>
    </xf>
    <xf numFmtId="0" fontId="13" fillId="0" borderId="8" xfId="0" applyFont="1" applyFill="1" applyBorder="1" applyAlignment="1">
      <alignment/>
    </xf>
    <xf numFmtId="0" fontId="13" fillId="0" borderId="14" xfId="0" applyFont="1" applyFill="1" applyBorder="1" applyAlignment="1">
      <alignment/>
    </xf>
    <xf numFmtId="0" fontId="13" fillId="0" borderId="9" xfId="0" applyFont="1" applyFill="1" applyBorder="1" applyAlignment="1">
      <alignment/>
    </xf>
    <xf numFmtId="0" fontId="0" fillId="0" borderId="8" xfId="0" applyFill="1" applyBorder="1" applyAlignment="1">
      <alignment horizontal="center"/>
    </xf>
    <xf numFmtId="0" fontId="0" fillId="0" borderId="4" xfId="0" applyFill="1" applyBorder="1" applyAlignment="1">
      <alignment/>
    </xf>
    <xf numFmtId="191" fontId="0" fillId="0" borderId="1" xfId="0" applyNumberFormat="1" applyFill="1" applyBorder="1" applyAlignment="1">
      <alignment horizontal="center"/>
    </xf>
    <xf numFmtId="164" fontId="0" fillId="0" borderId="4" xfId="0" applyNumberFormat="1" applyFill="1" applyBorder="1" applyAlignment="1" applyProtection="1">
      <alignment/>
      <protection locked="0"/>
    </xf>
    <xf numFmtId="164" fontId="0" fillId="0" borderId="4" xfId="0" applyNumberFormat="1" applyFill="1" applyBorder="1" applyAlignment="1">
      <alignment/>
    </xf>
    <xf numFmtId="1" fontId="0" fillId="0" borderId="12" xfId="0" applyNumberFormat="1" applyFill="1" applyBorder="1" applyAlignment="1">
      <alignment/>
    </xf>
    <xf numFmtId="0" fontId="0" fillId="0" borderId="7" xfId="0" applyFill="1" applyBorder="1" applyAlignment="1">
      <alignment/>
    </xf>
    <xf numFmtId="1" fontId="0" fillId="0" borderId="10" xfId="0" applyNumberFormat="1" applyFill="1" applyBorder="1" applyAlignment="1">
      <alignment/>
    </xf>
    <xf numFmtId="164" fontId="0" fillId="0" borderId="1" xfId="0" applyNumberFormat="1" applyFill="1" applyBorder="1" applyAlignment="1">
      <alignment/>
    </xf>
    <xf numFmtId="164" fontId="0" fillId="0" borderId="0" xfId="0" applyNumberFormat="1" applyFill="1" applyBorder="1" applyAlignment="1">
      <alignment/>
    </xf>
    <xf numFmtId="0" fontId="11" fillId="0" borderId="1" xfId="0" applyFont="1" applyFill="1" applyBorder="1" applyAlignment="1">
      <alignment/>
    </xf>
    <xf numFmtId="0" fontId="11" fillId="0" borderId="3" xfId="0" applyFont="1" applyFill="1" applyBorder="1" applyAlignment="1">
      <alignment/>
    </xf>
    <xf numFmtId="0" fontId="11" fillId="0" borderId="15" xfId="0" applyFont="1" applyFill="1" applyBorder="1" applyAlignment="1">
      <alignment/>
    </xf>
    <xf numFmtId="0" fontId="0" fillId="0" borderId="6" xfId="0" applyFill="1" applyBorder="1" applyAlignment="1" applyProtection="1">
      <alignment/>
      <protection/>
    </xf>
    <xf numFmtId="0" fontId="0" fillId="0" borderId="15" xfId="0" applyFill="1" applyBorder="1" applyAlignment="1">
      <alignment horizontal="center"/>
    </xf>
    <xf numFmtId="164" fontId="0" fillId="0" borderId="0" xfId="0" applyNumberFormat="1" applyFont="1" applyFill="1" applyBorder="1" applyAlignment="1">
      <alignment horizontal="center"/>
    </xf>
    <xf numFmtId="187" fontId="0" fillId="2" borderId="21" xfId="0" applyNumberFormat="1" applyFill="1" applyBorder="1" applyAlignment="1" applyProtection="1">
      <alignment/>
      <protection locked="0"/>
    </xf>
    <xf numFmtId="193" fontId="0" fillId="2" borderId="1" xfId="0" applyNumberFormat="1" applyFont="1" applyFill="1" applyBorder="1" applyAlignment="1" applyProtection="1">
      <alignment horizontal="center"/>
      <protection locked="0"/>
    </xf>
    <xf numFmtId="188" fontId="0" fillId="2" borderId="3" xfId="0" applyNumberFormat="1" applyFont="1" applyFill="1" applyBorder="1" applyAlignment="1" applyProtection="1">
      <alignment horizontal="center"/>
      <protection locked="0"/>
    </xf>
    <xf numFmtId="188" fontId="0" fillId="2" borderId="1" xfId="0" applyNumberFormat="1" applyFill="1" applyBorder="1" applyAlignment="1" applyProtection="1">
      <alignment horizontal="center"/>
      <protection locked="0"/>
    </xf>
    <xf numFmtId="14" fontId="11" fillId="2"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7" fontId="11" fillId="2" borderId="1" xfId="17" applyNumberFormat="1"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41" fontId="11" fillId="2" borderId="1" xfId="17" applyNumberFormat="1" applyFont="1" applyFill="1" applyBorder="1" applyAlignment="1" applyProtection="1">
      <alignment/>
      <protection locked="0"/>
    </xf>
    <xf numFmtId="0" fontId="14" fillId="2" borderId="1" xfId="0" applyFont="1" applyFill="1" applyBorder="1" applyAlignment="1">
      <alignment horizontal="center"/>
    </xf>
    <xf numFmtId="0" fontId="11" fillId="2" borderId="12" xfId="0" applyFont="1" applyFill="1" applyBorder="1" applyAlignment="1" applyProtection="1">
      <alignment/>
      <protection locked="0"/>
    </xf>
    <xf numFmtId="0" fontId="0" fillId="2" borderId="15"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9" xfId="0" applyFont="1" applyFill="1" applyBorder="1" applyAlignment="1">
      <alignment horizontal="left" vertical="top" wrapText="1"/>
    </xf>
    <xf numFmtId="14" fontId="0" fillId="2" borderId="2" xfId="0" applyNumberFormat="1" applyFill="1" applyBorder="1" applyAlignment="1" applyProtection="1">
      <alignment horizontal="center"/>
      <protection locked="0"/>
    </xf>
    <xf numFmtId="0" fontId="10" fillId="0" borderId="3" xfId="0" applyFont="1" applyFill="1" applyBorder="1" applyAlignment="1" applyProtection="1">
      <alignment horizontal="center"/>
      <protection locked="0"/>
    </xf>
    <xf numFmtId="0" fontId="10" fillId="0" borderId="5" xfId="0" applyFont="1" applyFill="1" applyBorder="1" applyAlignment="1" applyProtection="1">
      <alignment horizontal="center"/>
      <protection locked="0"/>
    </xf>
    <xf numFmtId="0" fontId="33" fillId="0" borderId="3" xfId="0" applyFont="1" applyFill="1" applyBorder="1" applyAlignment="1">
      <alignment horizontal="center"/>
    </xf>
    <xf numFmtId="0" fontId="33" fillId="0" borderId="2" xfId="0" applyFont="1" applyBorder="1" applyAlignment="1">
      <alignment horizontal="center"/>
    </xf>
    <xf numFmtId="0" fontId="33" fillId="0" borderId="5" xfId="0" applyFont="1" applyBorder="1" applyAlignment="1">
      <alignment horizontal="center"/>
    </xf>
    <xf numFmtId="0" fontId="0" fillId="2" borderId="15" xfId="0" applyFont="1" applyFill="1" applyBorder="1" applyAlignment="1" applyProtection="1">
      <alignment horizontal="left" vertical="top" wrapText="1"/>
      <protection locked="0"/>
    </xf>
    <xf numFmtId="0" fontId="0" fillId="2" borderId="0" xfId="0" applyFont="1" applyFill="1" applyAlignment="1">
      <alignment horizontal="left" vertical="top" wrapText="1"/>
    </xf>
    <xf numFmtId="0" fontId="0" fillId="2" borderId="10" xfId="0" applyFont="1" applyFill="1" applyBorder="1" applyAlignment="1">
      <alignment horizontal="left" vertical="top" wrapText="1"/>
    </xf>
    <xf numFmtId="14" fontId="0" fillId="2" borderId="3" xfId="0" applyNumberForma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2" borderId="3" xfId="0" applyNumberFormat="1" applyFont="1" applyFill="1" applyBorder="1" applyAlignment="1" applyProtection="1">
      <alignment horizontal="center"/>
      <protection locked="0"/>
    </xf>
    <xf numFmtId="0" fontId="11" fillId="2" borderId="5" xfId="0" applyNumberFormat="1" applyFont="1" applyFill="1" applyBorder="1" applyAlignment="1" applyProtection="1">
      <alignment horizontal="center"/>
      <protection locked="0"/>
    </xf>
    <xf numFmtId="0" fontId="0" fillId="0" borderId="5" xfId="0" applyBorder="1" applyAlignment="1">
      <alignment/>
    </xf>
    <xf numFmtId="0" fontId="11" fillId="0" borderId="3" xfId="0" applyFont="1" applyBorder="1" applyAlignment="1">
      <alignment horizontal="center"/>
    </xf>
    <xf numFmtId="0" fontId="11" fillId="0" borderId="5" xfId="0" applyFont="1" applyBorder="1" applyAlignment="1">
      <alignment horizontal="center"/>
    </xf>
    <xf numFmtId="0" fontId="11" fillId="0" borderId="3" xfId="0" applyFont="1" applyFill="1" applyBorder="1" applyAlignment="1">
      <alignment horizontal="center"/>
    </xf>
    <xf numFmtId="0" fontId="11" fillId="0" borderId="5" xfId="0" applyFont="1" applyFill="1" applyBorder="1" applyAlignment="1">
      <alignment horizontal="center"/>
    </xf>
    <xf numFmtId="0" fontId="11" fillId="0" borderId="8" xfId="0" applyFont="1" applyFill="1" applyBorder="1" applyAlignment="1">
      <alignment horizontal="center"/>
    </xf>
    <xf numFmtId="0" fontId="11" fillId="0" borderId="9" xfId="0" applyFont="1" applyFill="1" applyBorder="1" applyAlignment="1">
      <alignment horizontal="center"/>
    </xf>
    <xf numFmtId="0" fontId="10" fillId="2" borderId="3" xfId="0" applyFont="1" applyFill="1" applyBorder="1" applyAlignment="1" applyProtection="1">
      <alignment horizontal="center"/>
      <protection locked="0"/>
    </xf>
    <xf numFmtId="14" fontId="0" fillId="0" borderId="1" xfId="0" applyNumberFormat="1" applyFill="1" applyBorder="1" applyAlignment="1" applyProtection="1">
      <alignment/>
      <protection locked="0"/>
    </xf>
    <xf numFmtId="0" fontId="0" fillId="0" borderId="12" xfId="0" applyFill="1" applyBorder="1" applyAlignment="1" applyProtection="1">
      <alignment/>
      <protection locked="0"/>
    </xf>
    <xf numFmtId="41" fontId="0" fillId="0" borderId="1" xfId="17" applyNumberFormat="1" applyFont="1" applyFill="1" applyBorder="1" applyAlignment="1" applyProtection="1">
      <alignment/>
      <protection locked="0"/>
    </xf>
    <xf numFmtId="182" fontId="0" fillId="0" borderId="1" xfId="17" applyNumberFormat="1" applyFont="1" applyFill="1" applyBorder="1" applyAlignment="1" applyProtection="1">
      <alignment/>
      <protection locked="0"/>
    </xf>
    <xf numFmtId="180" fontId="0" fillId="0" borderId="1" xfId="0" applyNumberFormat="1" applyFill="1" applyBorder="1" applyAlignment="1" applyProtection="1">
      <alignment horizontal="center"/>
      <protection locked="0"/>
    </xf>
    <xf numFmtId="180" fontId="0" fillId="0" borderId="1" xfId="0" applyNumberFormat="1" applyFont="1" applyFill="1" applyBorder="1" applyAlignment="1" applyProtection="1">
      <alignment horizontal="center"/>
      <protection locked="0"/>
    </xf>
    <xf numFmtId="180" fontId="0" fillId="0" borderId="3" xfId="0" applyNumberFormat="1" applyFont="1" applyFill="1" applyBorder="1" applyAlignment="1" applyProtection="1">
      <alignment horizontal="center"/>
      <protection locked="0"/>
    </xf>
    <xf numFmtId="0" fontId="0" fillId="0" borderId="1" xfId="0" applyFill="1" applyBorder="1" applyAlignment="1">
      <alignment horizontal="center" vertical="center"/>
    </xf>
    <xf numFmtId="0" fontId="0" fillId="0" borderId="1" xfId="0" applyFill="1" applyBorder="1" applyAlignment="1" applyProtection="1">
      <alignment horizontal="center" vertical="center"/>
      <protection hidden="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horizontal="left" vertical="top" wrapText="1"/>
    </xf>
    <xf numFmtId="0" fontId="0" fillId="0" borderId="18" xfId="0" applyBorder="1" applyAlignment="1">
      <alignment horizontal="left" vertical="top"/>
    </xf>
    <xf numFmtId="0" fontId="0" fillId="0" borderId="22" xfId="0" applyBorder="1" applyAlignment="1">
      <alignment horizontal="left" vertical="top"/>
    </xf>
    <xf numFmtId="0" fontId="0" fillId="0" borderId="3" xfId="0" applyBorder="1" applyAlignment="1">
      <alignment horizontal="center"/>
    </xf>
    <xf numFmtId="0" fontId="0" fillId="0" borderId="5" xfId="0" applyBorder="1" applyAlignment="1">
      <alignment horizontal="center"/>
    </xf>
    <xf numFmtId="0" fontId="0" fillId="0" borderId="3" xfId="0" applyFill="1" applyBorder="1" applyAlignment="1" applyProtection="1">
      <alignment horizontal="center"/>
      <protection locked="0"/>
    </xf>
    <xf numFmtId="0" fontId="11" fillId="0" borderId="3" xfId="0" applyFont="1" applyBorder="1" applyAlignment="1">
      <alignment horizontal="left"/>
    </xf>
    <xf numFmtId="0" fontId="11" fillId="0" borderId="5" xfId="0" applyFont="1" applyBorder="1" applyAlignment="1">
      <alignment horizontal="left"/>
    </xf>
    <xf numFmtId="0" fontId="16" fillId="0" borderId="23" xfId="0" applyFont="1" applyBorder="1" applyAlignment="1">
      <alignment horizontal="center"/>
    </xf>
    <xf numFmtId="0" fontId="0" fillId="0" borderId="20" xfId="0" applyBorder="1" applyAlignment="1">
      <alignment/>
    </xf>
    <xf numFmtId="0" fontId="16" fillId="0" borderId="0" xfId="0" applyFont="1" applyBorder="1" applyAlignment="1">
      <alignment horizontal="center"/>
    </xf>
    <xf numFmtId="0" fontId="0" fillId="0" borderId="0" xfId="0" applyAlignment="1">
      <alignment/>
    </xf>
    <xf numFmtId="0" fontId="16" fillId="0" borderId="16" xfId="0" applyFont="1" applyBorder="1" applyAlignment="1">
      <alignment horizontal="center"/>
    </xf>
    <xf numFmtId="0" fontId="0" fillId="0" borderId="16" xfId="0" applyBorder="1" applyAlignment="1">
      <alignment/>
    </xf>
    <xf numFmtId="0" fontId="16" fillId="0" borderId="16" xfId="0" applyFont="1" applyBorder="1" applyAlignment="1" applyProtection="1">
      <alignment horizontal="center"/>
      <protection locked="0"/>
    </xf>
    <xf numFmtId="1" fontId="22" fillId="0" borderId="0" xfId="0" applyNumberFormat="1" applyFont="1" applyBorder="1" applyAlignment="1">
      <alignment horizontal="center"/>
    </xf>
    <xf numFmtId="0" fontId="0" fillId="0" borderId="17" xfId="0" applyBorder="1" applyAlignment="1">
      <alignment/>
    </xf>
    <xf numFmtId="164" fontId="16" fillId="0" borderId="17" xfId="0" applyNumberFormat="1" applyFont="1" applyBorder="1" applyAlignment="1" applyProtection="1">
      <alignment horizontal="center"/>
      <protection locked="0"/>
    </xf>
    <xf numFmtId="0" fontId="16" fillId="0" borderId="24" xfId="0" applyNumberFormat="1" applyFont="1" applyBorder="1" applyAlignment="1" applyProtection="1">
      <alignment horizontal="center"/>
      <protection locked="0"/>
    </xf>
    <xf numFmtId="0" fontId="0" fillId="0" borderId="18" xfId="0" applyBorder="1" applyAlignment="1">
      <alignment horizontal="center"/>
    </xf>
    <xf numFmtId="0" fontId="16" fillId="0" borderId="18" xfId="0" applyNumberFormat="1" applyFont="1" applyBorder="1" applyAlignment="1" applyProtection="1">
      <alignment horizontal="center"/>
      <protection locked="0"/>
    </xf>
    <xf numFmtId="0" fontId="0" fillId="0" borderId="18" xfId="0" applyBorder="1" applyAlignment="1">
      <alignment/>
    </xf>
    <xf numFmtId="0" fontId="16" fillId="0" borderId="24" xfId="0" applyFont="1" applyBorder="1" applyAlignment="1">
      <alignment horizontal="center"/>
    </xf>
    <xf numFmtId="0" fontId="16" fillId="0" borderId="18" xfId="0" applyFont="1" applyBorder="1" applyAlignment="1">
      <alignment horizontal="center"/>
    </xf>
    <xf numFmtId="164" fontId="32" fillId="0" borderId="18" xfId="0" applyNumberFormat="1" applyFont="1" applyBorder="1" applyAlignment="1">
      <alignment horizontal="center"/>
    </xf>
    <xf numFmtId="164" fontId="0" fillId="0" borderId="25" xfId="0" applyNumberFormat="1" applyFont="1" applyBorder="1" applyAlignment="1">
      <alignment/>
    </xf>
    <xf numFmtId="0" fontId="16" fillId="0" borderId="24" xfId="0" applyNumberFormat="1" applyFont="1" applyBorder="1" applyAlignment="1">
      <alignment horizontal="center"/>
    </xf>
    <xf numFmtId="0" fontId="16" fillId="0" borderId="18" xfId="0" applyNumberFormat="1" applyFont="1" applyBorder="1" applyAlignment="1">
      <alignment horizontal="center"/>
    </xf>
    <xf numFmtId="164" fontId="16" fillId="0" borderId="18" xfId="0" applyNumberFormat="1" applyFont="1" applyBorder="1" applyAlignment="1">
      <alignment horizontal="center"/>
    </xf>
    <xf numFmtId="164" fontId="16" fillId="0" borderId="25" xfId="0" applyNumberFormat="1" applyFont="1" applyBorder="1" applyAlignment="1">
      <alignment horizontal="center"/>
    </xf>
    <xf numFmtId="164" fontId="16" fillId="0" borderId="18" xfId="0" applyNumberFormat="1" applyFont="1" applyBorder="1" applyAlignment="1" applyProtection="1">
      <alignment horizontal="center"/>
      <protection locked="0"/>
    </xf>
    <xf numFmtId="164" fontId="16" fillId="0" borderId="25" xfId="0" applyNumberFormat="1" applyFont="1" applyBorder="1" applyAlignment="1" applyProtection="1">
      <alignment horizontal="center"/>
      <protection locked="0"/>
    </xf>
    <xf numFmtId="0" fontId="0" fillId="0" borderId="3" xfId="0" applyFill="1" applyBorder="1" applyAlignment="1">
      <alignment horizontal="center"/>
    </xf>
    <xf numFmtId="0" fontId="0" fillId="0" borderId="5" xfId="0" applyFill="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0" fillId="0" borderId="9" xfId="0" applyBorder="1" applyAlignment="1">
      <alignment horizontal="center"/>
    </xf>
    <xf numFmtId="188" fontId="0" fillId="0" borderId="0" xfId="0" applyNumberFormat="1" applyAlignment="1">
      <alignment horizontal="center"/>
    </xf>
    <xf numFmtId="0"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0" borderId="1" xfId="0" applyBorder="1" applyAlignment="1">
      <alignment horizontal="center"/>
    </xf>
    <xf numFmtId="0" fontId="0" fillId="0" borderId="3" xfId="0" applyFill="1" applyBorder="1" applyAlignment="1">
      <alignment horizontal="right" vertical="center"/>
    </xf>
    <xf numFmtId="0" fontId="0" fillId="0" borderId="5" xfId="0" applyFill="1" applyBorder="1" applyAlignment="1">
      <alignment horizontal="right" vertical="center"/>
    </xf>
    <xf numFmtId="0" fontId="0" fillId="0" borderId="0" xfId="0" applyBorder="1" applyAlignment="1">
      <alignment horizontal="center"/>
    </xf>
    <xf numFmtId="0" fontId="0" fillId="0" borderId="26" xfId="0" applyBorder="1" applyAlignment="1">
      <alignment horizontal="center"/>
    </xf>
    <xf numFmtId="0" fontId="6" fillId="2" borderId="6"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11" xfId="0" applyBorder="1" applyAlignment="1">
      <alignment horizontal="center"/>
    </xf>
    <xf numFmtId="0" fontId="4" fillId="0" borderId="1" xfId="0" applyFont="1" applyBorder="1" applyAlignment="1">
      <alignment horizontal="center"/>
    </xf>
    <xf numFmtId="0" fontId="0" fillId="2" borderId="15" xfId="0" applyFill="1" applyBorder="1" applyAlignment="1" applyProtection="1">
      <alignment horizontal="left" vertical="top" wrapText="1"/>
      <protection locked="0"/>
    </xf>
    <xf numFmtId="0" fontId="0" fillId="2" borderId="0" xfId="0" applyFill="1" applyAlignment="1">
      <alignment horizontal="left" vertical="top" wrapText="1"/>
    </xf>
    <xf numFmtId="0" fontId="0" fillId="2" borderId="10" xfId="0" applyFill="1" applyBorder="1" applyAlignment="1">
      <alignment horizontal="left" vertical="top" wrapText="1"/>
    </xf>
    <xf numFmtId="0" fontId="0" fillId="2" borderId="15" xfId="0" applyFill="1" applyBorder="1" applyAlignment="1">
      <alignment horizontal="left" vertical="top" wrapText="1"/>
    </xf>
    <xf numFmtId="0" fontId="0" fillId="2" borderId="8" xfId="0" applyFill="1" applyBorder="1" applyAlignment="1">
      <alignment horizontal="left" vertical="top" wrapText="1"/>
    </xf>
    <xf numFmtId="0" fontId="0" fillId="2" borderId="14" xfId="0" applyFill="1" applyBorder="1" applyAlignment="1">
      <alignment horizontal="left" vertical="top" wrapText="1"/>
    </xf>
    <xf numFmtId="0" fontId="0" fillId="2" borderId="9" xfId="0" applyFill="1" applyBorder="1" applyAlignment="1">
      <alignment horizontal="left" vertical="top" wrapText="1"/>
    </xf>
    <xf numFmtId="0" fontId="16" fillId="0" borderId="18" xfId="0" applyNumberFormat="1" applyFont="1" applyFill="1" applyBorder="1" applyAlignment="1" applyProtection="1">
      <alignment horizontal="center"/>
      <protection locked="0"/>
    </xf>
    <xf numFmtId="0" fontId="0" fillId="0" borderId="18" xfId="0" applyFill="1" applyBorder="1" applyAlignment="1">
      <alignment/>
    </xf>
    <xf numFmtId="0" fontId="0" fillId="0" borderId="18" xfId="0" applyFill="1" applyBorder="1" applyAlignment="1">
      <alignment horizontal="center"/>
    </xf>
    <xf numFmtId="0" fontId="16" fillId="0" borderId="27" xfId="0" applyFont="1" applyFill="1" applyBorder="1" applyAlignment="1">
      <alignment horizontal="center"/>
    </xf>
    <xf numFmtId="0" fontId="0" fillId="0" borderId="17" xfId="0" applyFill="1" applyBorder="1" applyAlignment="1">
      <alignment/>
    </xf>
    <xf numFmtId="164" fontId="16" fillId="0" borderId="17" xfId="0" applyNumberFormat="1" applyFont="1" applyFill="1" applyBorder="1" applyAlignment="1" applyProtection="1">
      <alignment horizontal="center"/>
      <protection locked="0"/>
    </xf>
    <xf numFmtId="164" fontId="0" fillId="0" borderId="28" xfId="0" applyNumberFormat="1" applyFill="1" applyBorder="1" applyAlignment="1">
      <alignment/>
    </xf>
    <xf numFmtId="0" fontId="16" fillId="0" borderId="24" xfId="0" applyNumberFormat="1" applyFont="1" applyFill="1" applyBorder="1" applyAlignment="1" applyProtection="1">
      <alignment horizontal="center"/>
      <protection locked="0"/>
    </xf>
    <xf numFmtId="0" fontId="16" fillId="0" borderId="20"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6" xfId="0" applyFont="1" applyFill="1" applyBorder="1" applyAlignment="1">
      <alignment horizontal="center"/>
    </xf>
    <xf numFmtId="0" fontId="0" fillId="0" borderId="16" xfId="0" applyFill="1" applyBorder="1" applyAlignment="1">
      <alignment/>
    </xf>
    <xf numFmtId="0" fontId="16" fillId="0" borderId="16" xfId="0" applyFont="1" applyFill="1" applyBorder="1" applyAlignment="1" applyProtection="1">
      <alignment horizontal="center"/>
      <protection locked="0"/>
    </xf>
    <xf numFmtId="0" fontId="0" fillId="0" borderId="30" xfId="0" applyFill="1" applyBorder="1" applyAlignment="1">
      <alignment/>
    </xf>
    <xf numFmtId="0" fontId="16" fillId="0" borderId="31" xfId="0" applyFont="1" applyFill="1" applyBorder="1" applyAlignment="1">
      <alignment horizontal="center"/>
    </xf>
    <xf numFmtId="0" fontId="0" fillId="0" borderId="29" xfId="0" applyFill="1" applyBorder="1" applyAlignment="1">
      <alignment horizontal="center"/>
    </xf>
    <xf numFmtId="0" fontId="16" fillId="0" borderId="16" xfId="0" applyFont="1" applyFill="1" applyBorder="1" applyAlignment="1">
      <alignment horizontal="center"/>
    </xf>
    <xf numFmtId="0" fontId="16" fillId="0" borderId="23" xfId="0" applyFont="1" applyFill="1" applyBorder="1" applyAlignment="1">
      <alignment horizontal="center"/>
    </xf>
    <xf numFmtId="0" fontId="33" fillId="0" borderId="2" xfId="0" applyFont="1" applyFill="1" applyBorder="1" applyAlignment="1">
      <alignment horizontal="center"/>
    </xf>
    <xf numFmtId="0" fontId="33" fillId="0" borderId="5" xfId="0" applyFont="1" applyFill="1" applyBorder="1" applyAlignment="1">
      <alignment horizontal="center"/>
    </xf>
    <xf numFmtId="0" fontId="0" fillId="0" borderId="15" xfId="0" applyFont="1" applyFill="1" applyBorder="1" applyAlignment="1" applyProtection="1">
      <alignment horizontal="left" vertical="top" wrapText="1"/>
      <protection locked="0"/>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9" xfId="0" applyFont="1" applyFill="1" applyBorder="1" applyAlignment="1">
      <alignment horizontal="left" vertical="top" wrapText="1"/>
    </xf>
    <xf numFmtId="0" fontId="11" fillId="0" borderId="3" xfId="0" applyFont="1" applyFill="1" applyBorder="1" applyAlignment="1">
      <alignment horizontal="left"/>
    </xf>
    <xf numFmtId="0" fontId="11" fillId="0" borderId="5" xfId="0" applyFont="1" applyFill="1" applyBorder="1" applyAlignment="1">
      <alignment horizontal="left"/>
    </xf>
    <xf numFmtId="0" fontId="16" fillId="0" borderId="23" xfId="0" applyFont="1" applyFill="1" applyBorder="1" applyAlignment="1">
      <alignment horizontal="center"/>
    </xf>
    <xf numFmtId="0" fontId="0" fillId="0" borderId="20" xfId="0" applyFill="1" applyBorder="1" applyAlignment="1">
      <alignment/>
    </xf>
    <xf numFmtId="0" fontId="0" fillId="0" borderId="32" xfId="0" applyFill="1" applyBorder="1" applyAlignment="1">
      <alignment/>
    </xf>
    <xf numFmtId="0" fontId="0" fillId="0" borderId="5" xfId="0"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11" fillId="0" borderId="3" xfId="0" applyNumberFormat="1" applyFont="1" applyFill="1" applyBorder="1" applyAlignment="1" applyProtection="1">
      <alignment horizontal="center"/>
      <protection locked="0"/>
    </xf>
    <xf numFmtId="0" fontId="11" fillId="0" borderId="5" xfId="0" applyNumberFormat="1" applyFont="1" applyFill="1" applyBorder="1" applyAlignment="1" applyProtection="1">
      <alignment horizontal="center"/>
      <protection locked="0"/>
    </xf>
    <xf numFmtId="14" fontId="0" fillId="0" borderId="3" xfId="0" applyNumberFormat="1" applyFill="1" applyBorder="1" applyAlignment="1" applyProtection="1">
      <alignment horizontal="center"/>
      <protection locked="0"/>
    </xf>
    <xf numFmtId="14" fontId="0" fillId="0" borderId="2" xfId="0" applyNumberFormat="1" applyFill="1" applyBorder="1" applyAlignment="1" applyProtection="1">
      <alignment horizontal="center"/>
      <protection locked="0"/>
    </xf>
    <xf numFmtId="0" fontId="0" fillId="0" borderId="5" xfId="0" applyFill="1" applyBorder="1" applyAlignment="1">
      <alignment/>
    </xf>
    <xf numFmtId="0" fontId="0" fillId="0" borderId="0" xfId="0" applyFill="1" applyBorder="1" applyAlignment="1">
      <alignment horizontal="center"/>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1" xfId="0" applyFont="1" applyFill="1" applyBorder="1" applyAlignment="1">
      <alignment horizontal="center"/>
    </xf>
    <xf numFmtId="0" fontId="0" fillId="0" borderId="15" xfId="0" applyFill="1" applyBorder="1" applyAlignment="1" applyProtection="1">
      <alignment horizontal="left" vertical="top" wrapText="1"/>
      <protection locked="0"/>
    </xf>
    <xf numFmtId="0" fontId="0" fillId="0" borderId="0" xfId="0" applyFill="1" applyAlignment="1">
      <alignment horizontal="left" vertical="top" wrapText="1"/>
    </xf>
    <xf numFmtId="0" fontId="0" fillId="0"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8" xfId="0" applyFill="1" applyBorder="1" applyAlignment="1">
      <alignment horizontal="left" vertical="top" wrapText="1"/>
    </xf>
    <xf numFmtId="0" fontId="0" fillId="0" borderId="14" xfId="0" applyFill="1" applyBorder="1" applyAlignment="1">
      <alignment horizontal="left" vertical="top" wrapText="1"/>
    </xf>
    <xf numFmtId="0" fontId="0" fillId="0" borderId="9" xfId="0" applyFill="1" applyBorder="1" applyAlignment="1">
      <alignment horizontal="left" vertical="top" wrapText="1"/>
    </xf>
    <xf numFmtId="0" fontId="4" fillId="0" borderId="3" xfId="0" applyFont="1" applyFill="1" applyBorder="1" applyAlignment="1">
      <alignment horizontal="center"/>
    </xf>
    <xf numFmtId="0" fontId="0" fillId="0" borderId="11" xfId="0" applyFill="1" applyBorder="1" applyAlignment="1">
      <alignment horizontal="center"/>
    </xf>
    <xf numFmtId="0" fontId="6" fillId="0" borderId="6"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0" fillId="0" borderId="1" xfId="0" applyFill="1" applyBorder="1" applyAlignment="1">
      <alignment horizontal="center"/>
    </xf>
    <xf numFmtId="0" fontId="0" fillId="0" borderId="26" xfId="0" applyFill="1" applyBorder="1" applyAlignment="1">
      <alignment horizontal="center"/>
    </xf>
    <xf numFmtId="0" fontId="0" fillId="0" borderId="9" xfId="0" applyFill="1" applyBorder="1" applyAlignment="1">
      <alignment horizontal="center"/>
    </xf>
    <xf numFmtId="0" fontId="0" fillId="0" borderId="0" xfId="0" applyFont="1" applyFill="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15" fillId="0" borderId="3" xfId="0" applyFont="1" applyFill="1" applyBorder="1" applyAlignment="1" applyProtection="1">
      <alignment horizontal="center"/>
      <protection locked="0"/>
    </xf>
    <xf numFmtId="0" fontId="15" fillId="0" borderId="5" xfId="0"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1" fontId="14" fillId="0" borderId="3" xfId="0" applyNumberFormat="1" applyFont="1" applyFill="1" applyBorder="1" applyAlignment="1" applyProtection="1">
      <alignment horizontal="right" vertical="center"/>
      <protection/>
    </xf>
    <xf numFmtId="0" fontId="14" fillId="0" borderId="2" xfId="0" applyFont="1" applyFill="1" applyBorder="1" applyAlignment="1">
      <alignment horizontal="right" vertical="center"/>
    </xf>
    <xf numFmtId="0" fontId="14" fillId="0" borderId="5" xfId="0" applyFont="1" applyFill="1" applyBorder="1" applyAlignment="1">
      <alignment horizontal="right" vertical="center"/>
    </xf>
    <xf numFmtId="175" fontId="20" fillId="0" borderId="14" xfId="0" applyNumberFormat="1" applyFont="1" applyBorder="1" applyAlignment="1" applyProtection="1">
      <alignment horizontal="center"/>
      <protection locked="0"/>
    </xf>
    <xf numFmtId="175" fontId="20" fillId="0" borderId="2" xfId="0" applyNumberFormat="1" applyFont="1" applyBorder="1" applyAlignment="1" applyProtection="1">
      <alignment horizontal="center"/>
      <protection locked="0"/>
    </xf>
    <xf numFmtId="0" fontId="31" fillId="0" borderId="0" xfId="0" applyFont="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16" fillId="0" borderId="0" xfId="0" applyFont="1" applyAlignment="1">
      <alignment horizontal="center"/>
    </xf>
    <xf numFmtId="0" fontId="18" fillId="0" borderId="19"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9" fillId="0" borderId="0" xfId="0" applyFont="1" applyAlignment="1">
      <alignment horizontal="center"/>
    </xf>
    <xf numFmtId="0" fontId="0" fillId="0" borderId="14" xfId="0" applyBorder="1" applyAlignment="1">
      <alignment horizontal="center"/>
    </xf>
    <xf numFmtId="0" fontId="0" fillId="0" borderId="0" xfId="0" applyAlignment="1">
      <alignment horizontal="right"/>
    </xf>
    <xf numFmtId="175" fontId="18" fillId="0" borderId="19" xfId="0" applyNumberFormat="1" applyFont="1" applyFill="1" applyBorder="1" applyAlignment="1" applyProtection="1">
      <alignment horizontal="center"/>
      <protection locked="0"/>
    </xf>
    <xf numFmtId="0" fontId="20" fillId="0" borderId="14" xfId="0" applyFont="1" applyBorder="1" applyAlignment="1" applyProtection="1">
      <alignment horizontal="center"/>
      <protection locked="0"/>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29" fillId="0" borderId="0" xfId="0" applyFont="1" applyBorder="1" applyAlignment="1">
      <alignment horizontal="center"/>
    </xf>
    <xf numFmtId="164" fontId="0" fillId="0" borderId="2" xfId="0" applyNumberFormat="1" applyFill="1" applyBorder="1" applyAlignment="1" applyProtection="1">
      <alignment horizontal="right"/>
      <protection/>
    </xf>
    <xf numFmtId="0" fontId="6" fillId="0" borderId="14" xfId="0" applyNumberFormat="1" applyFont="1" applyFill="1" applyBorder="1" applyAlignment="1" applyProtection="1">
      <alignment horizontal="center"/>
      <protection locked="0"/>
    </xf>
    <xf numFmtId="0" fontId="14" fillId="0" borderId="14" xfId="0" applyNumberFormat="1"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0" fillId="0" borderId="14" xfId="0" applyFill="1" applyBorder="1" applyAlignment="1" applyProtection="1">
      <alignment horizontal="center"/>
      <protection locked="0"/>
    </xf>
    <xf numFmtId="0" fontId="7" fillId="0" borderId="0" xfId="0" applyFont="1" applyFill="1" applyBorder="1" applyAlignment="1">
      <alignment horizontal="center"/>
    </xf>
    <xf numFmtId="14" fontId="0" fillId="0" borderId="14" xfId="0" applyNumberFormat="1" applyFont="1" applyFill="1" applyBorder="1" applyAlignment="1" applyProtection="1">
      <alignment horizontal="center"/>
      <protection locked="0"/>
    </xf>
    <xf numFmtId="0" fontId="0" fillId="0" borderId="2" xfId="0" applyBorder="1" applyAlignment="1">
      <alignment horizontal="center"/>
    </xf>
    <xf numFmtId="164" fontId="0" fillId="0" borderId="13" xfId="0" applyNumberFormat="1" applyFill="1" applyBorder="1" applyAlignment="1" applyProtection="1">
      <alignment horizontal="right"/>
      <protection/>
    </xf>
    <xf numFmtId="0" fontId="0" fillId="0" borderId="0" xfId="0" applyAlignment="1">
      <alignment horizontal="left"/>
    </xf>
    <xf numFmtId="0" fontId="17" fillId="0" borderId="0" xfId="0" applyFont="1" applyBorder="1" applyAlignment="1">
      <alignment horizontal="center"/>
    </xf>
    <xf numFmtId="0" fontId="0" fillId="0" borderId="19" xfId="0" applyBorder="1" applyAlignment="1" applyProtection="1">
      <alignment horizontal="center"/>
      <protection locked="0"/>
    </xf>
    <xf numFmtId="0" fontId="17" fillId="0" borderId="33" xfId="0" applyFont="1" applyBorder="1" applyAlignment="1">
      <alignment horizontal="center"/>
    </xf>
    <xf numFmtId="0" fontId="11" fillId="0" borderId="2" xfId="0" applyFont="1" applyBorder="1" applyAlignment="1">
      <alignment horizontal="center"/>
    </xf>
    <xf numFmtId="192" fontId="20" fillId="0" borderId="14" xfId="0" applyNumberFormat="1" applyFont="1" applyBorder="1" applyAlignment="1" applyProtection="1">
      <alignment horizontal="center"/>
      <protection locked="0"/>
    </xf>
    <xf numFmtId="192" fontId="20" fillId="0" borderId="2" xfId="0" applyNumberFormat="1" applyFont="1" applyBorder="1" applyAlignment="1" applyProtection="1">
      <alignment horizontal="center"/>
      <protection locked="0"/>
    </xf>
    <xf numFmtId="2" fontId="0" fillId="0" borderId="19" xfId="0" applyNumberFormat="1" applyFill="1" applyBorder="1" applyAlignment="1" applyProtection="1">
      <alignment horizontal="center"/>
      <protection locked="0"/>
    </xf>
    <xf numFmtId="0" fontId="0" fillId="0" borderId="0" xfId="0" applyBorder="1" applyAlignment="1">
      <alignment horizontal="right"/>
    </xf>
    <xf numFmtId="0" fontId="1" fillId="0" borderId="0" xfId="0" applyFont="1" applyFill="1" applyAlignment="1">
      <alignment horizontal="center"/>
    </xf>
    <xf numFmtId="14" fontId="0" fillId="0" borderId="14" xfId="0" applyNumberFormat="1" applyFont="1" applyFill="1" applyBorder="1" applyAlignment="1">
      <alignment horizontal="center"/>
    </xf>
    <xf numFmtId="0" fontId="0" fillId="0" borderId="14" xfId="0" applyFill="1" applyBorder="1" applyAlignment="1">
      <alignment horizontal="center"/>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0" fillId="0" borderId="0" xfId="0" applyFill="1" applyBorder="1" applyAlignment="1">
      <alignment/>
    </xf>
    <xf numFmtId="0" fontId="16" fillId="0" borderId="0" xfId="0" applyNumberFormat="1" applyFont="1" applyFill="1" applyBorder="1" applyAlignment="1" applyProtection="1">
      <alignment horizontal="center"/>
      <protection locked="0"/>
    </xf>
    <xf numFmtId="0" fontId="0" fillId="0" borderId="29" xfId="0" applyBorder="1" applyAlignment="1">
      <alignment/>
    </xf>
    <xf numFmtId="164" fontId="0" fillId="0" borderId="17" xfId="0" applyNumberFormat="1" applyBorder="1" applyAlignment="1">
      <alignment/>
    </xf>
    <xf numFmtId="164" fontId="0" fillId="0" borderId="18" xfId="0" applyNumberFormat="1" applyFont="1" applyBorder="1" applyAlignment="1">
      <alignment/>
    </xf>
    <xf numFmtId="0" fontId="16" fillId="0" borderId="17" xfId="0" applyFont="1" applyBorder="1" applyAlignment="1">
      <alignment horizontal="center"/>
    </xf>
  </cellXfs>
  <cellStyles count="7">
    <cellStyle name="Normal" xfId="0"/>
    <cellStyle name="Comma" xfId="15"/>
    <cellStyle name="Comma [0]" xfId="16"/>
    <cellStyle name="Currency" xfId="17"/>
    <cellStyle name="Currency [0]" xfId="18"/>
    <cellStyle name="Normal_Calb"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5555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9.emf" /><Relationship Id="rId6" Type="http://schemas.openxmlformats.org/officeDocument/2006/relationships/image" Target="../media/image2.emf" /><Relationship Id="rId7" Type="http://schemas.openxmlformats.org/officeDocument/2006/relationships/image" Target="../media/image8.emf" /><Relationship Id="rId8" Type="http://schemas.openxmlformats.org/officeDocument/2006/relationships/image" Target="../media/image3.emf" /><Relationship Id="rId9"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xdr:row>
      <xdr:rowOff>28575</xdr:rowOff>
    </xdr:from>
    <xdr:to>
      <xdr:col>0</xdr:col>
      <xdr:colOff>5400675</xdr:colOff>
      <xdr:row>9</xdr:row>
      <xdr:rowOff>76200</xdr:rowOff>
    </xdr:to>
    <xdr:pic>
      <xdr:nvPicPr>
        <xdr:cNvPr id="1" name="TextBox1"/>
        <xdr:cNvPicPr preferRelativeResize="1">
          <a:picLocks noChangeAspect="1"/>
        </xdr:cNvPicPr>
      </xdr:nvPicPr>
      <xdr:blipFill>
        <a:blip r:embed="rId1"/>
        <a:stretch>
          <a:fillRect/>
        </a:stretch>
      </xdr:blipFill>
      <xdr:spPr>
        <a:xfrm>
          <a:off x="28575" y="1038225"/>
          <a:ext cx="5372100" cy="695325"/>
        </a:xfrm>
        <a:prstGeom prst="rect">
          <a:avLst/>
        </a:prstGeom>
        <a:noFill/>
        <a:ln w="9525" cmpd="sng">
          <a:noFill/>
        </a:ln>
      </xdr:spPr>
    </xdr:pic>
    <xdr:clientData/>
  </xdr:twoCellAnchor>
  <xdr:twoCellAnchor editAs="oneCell">
    <xdr:from>
      <xdr:col>0</xdr:col>
      <xdr:colOff>47625</xdr:colOff>
      <xdr:row>10</xdr:row>
      <xdr:rowOff>85725</xdr:rowOff>
    </xdr:from>
    <xdr:to>
      <xdr:col>0</xdr:col>
      <xdr:colOff>5438775</xdr:colOff>
      <xdr:row>13</xdr:row>
      <xdr:rowOff>28575</xdr:rowOff>
    </xdr:to>
    <xdr:pic>
      <xdr:nvPicPr>
        <xdr:cNvPr id="2" name="TextBox2"/>
        <xdr:cNvPicPr preferRelativeResize="1">
          <a:picLocks noChangeAspect="1"/>
        </xdr:cNvPicPr>
      </xdr:nvPicPr>
      <xdr:blipFill>
        <a:blip r:embed="rId2"/>
        <a:stretch>
          <a:fillRect/>
        </a:stretch>
      </xdr:blipFill>
      <xdr:spPr>
        <a:xfrm>
          <a:off x="47625" y="1905000"/>
          <a:ext cx="5391150" cy="428625"/>
        </a:xfrm>
        <a:prstGeom prst="rect">
          <a:avLst/>
        </a:prstGeom>
        <a:noFill/>
        <a:ln w="9525" cmpd="sng">
          <a:noFill/>
        </a:ln>
      </xdr:spPr>
    </xdr:pic>
    <xdr:clientData/>
  </xdr:twoCellAnchor>
  <xdr:twoCellAnchor editAs="oneCell">
    <xdr:from>
      <xdr:col>0</xdr:col>
      <xdr:colOff>76200</xdr:colOff>
      <xdr:row>14</xdr:row>
      <xdr:rowOff>0</xdr:rowOff>
    </xdr:from>
    <xdr:to>
      <xdr:col>0</xdr:col>
      <xdr:colOff>5438775</xdr:colOff>
      <xdr:row>18</xdr:row>
      <xdr:rowOff>28575</xdr:rowOff>
    </xdr:to>
    <xdr:pic>
      <xdr:nvPicPr>
        <xdr:cNvPr id="3" name="TextBox3"/>
        <xdr:cNvPicPr preferRelativeResize="1">
          <a:picLocks noChangeAspect="1"/>
        </xdr:cNvPicPr>
      </xdr:nvPicPr>
      <xdr:blipFill>
        <a:blip r:embed="rId3"/>
        <a:stretch>
          <a:fillRect/>
        </a:stretch>
      </xdr:blipFill>
      <xdr:spPr>
        <a:xfrm>
          <a:off x="76200" y="2495550"/>
          <a:ext cx="5362575" cy="790575"/>
        </a:xfrm>
        <a:prstGeom prst="rect">
          <a:avLst/>
        </a:prstGeom>
        <a:noFill/>
        <a:ln w="9525" cmpd="sng">
          <a:noFill/>
        </a:ln>
      </xdr:spPr>
    </xdr:pic>
    <xdr:clientData/>
  </xdr:twoCellAnchor>
  <xdr:twoCellAnchor editAs="oneCell">
    <xdr:from>
      <xdr:col>0</xdr:col>
      <xdr:colOff>66675</xdr:colOff>
      <xdr:row>18</xdr:row>
      <xdr:rowOff>104775</xdr:rowOff>
    </xdr:from>
    <xdr:to>
      <xdr:col>0</xdr:col>
      <xdr:colOff>5448300</xdr:colOff>
      <xdr:row>44</xdr:row>
      <xdr:rowOff>85725</xdr:rowOff>
    </xdr:to>
    <xdr:pic>
      <xdr:nvPicPr>
        <xdr:cNvPr id="4" name="TextBox4"/>
        <xdr:cNvPicPr preferRelativeResize="1">
          <a:picLocks noChangeAspect="1"/>
        </xdr:cNvPicPr>
      </xdr:nvPicPr>
      <xdr:blipFill>
        <a:blip r:embed="rId4"/>
        <a:stretch>
          <a:fillRect/>
        </a:stretch>
      </xdr:blipFill>
      <xdr:spPr>
        <a:xfrm>
          <a:off x="66675" y="3362325"/>
          <a:ext cx="5381625" cy="4505325"/>
        </a:xfrm>
        <a:prstGeom prst="rect">
          <a:avLst/>
        </a:prstGeom>
        <a:noFill/>
        <a:ln w="9525" cmpd="sng">
          <a:noFill/>
        </a:ln>
      </xdr:spPr>
    </xdr:pic>
    <xdr:clientData/>
  </xdr:twoCellAnchor>
  <xdr:twoCellAnchor editAs="oneCell">
    <xdr:from>
      <xdr:col>0</xdr:col>
      <xdr:colOff>66675</xdr:colOff>
      <xdr:row>45</xdr:row>
      <xdr:rowOff>76200</xdr:rowOff>
    </xdr:from>
    <xdr:to>
      <xdr:col>0</xdr:col>
      <xdr:colOff>5429250</xdr:colOff>
      <xdr:row>75</xdr:row>
      <xdr:rowOff>19050</xdr:rowOff>
    </xdr:to>
    <xdr:pic>
      <xdr:nvPicPr>
        <xdr:cNvPr id="5" name="TextBox5"/>
        <xdr:cNvPicPr preferRelativeResize="1">
          <a:picLocks noChangeAspect="1"/>
        </xdr:cNvPicPr>
      </xdr:nvPicPr>
      <xdr:blipFill>
        <a:blip r:embed="rId5"/>
        <a:stretch>
          <a:fillRect/>
        </a:stretch>
      </xdr:blipFill>
      <xdr:spPr>
        <a:xfrm>
          <a:off x="66675" y="8020050"/>
          <a:ext cx="5362575" cy="4800600"/>
        </a:xfrm>
        <a:prstGeom prst="rect">
          <a:avLst/>
        </a:prstGeom>
        <a:noFill/>
        <a:ln w="9525" cmpd="sng">
          <a:noFill/>
        </a:ln>
      </xdr:spPr>
    </xdr:pic>
    <xdr:clientData/>
  </xdr:twoCellAnchor>
  <xdr:twoCellAnchor editAs="oneCell">
    <xdr:from>
      <xdr:col>0</xdr:col>
      <xdr:colOff>85725</xdr:colOff>
      <xdr:row>75</xdr:row>
      <xdr:rowOff>104775</xdr:rowOff>
    </xdr:from>
    <xdr:to>
      <xdr:col>0</xdr:col>
      <xdr:colOff>5410200</xdr:colOff>
      <xdr:row>82</xdr:row>
      <xdr:rowOff>0</xdr:rowOff>
    </xdr:to>
    <xdr:pic>
      <xdr:nvPicPr>
        <xdr:cNvPr id="6" name="TextBox6"/>
        <xdr:cNvPicPr preferRelativeResize="1">
          <a:picLocks noChangeAspect="1"/>
        </xdr:cNvPicPr>
      </xdr:nvPicPr>
      <xdr:blipFill>
        <a:blip r:embed="rId6"/>
        <a:stretch>
          <a:fillRect/>
        </a:stretch>
      </xdr:blipFill>
      <xdr:spPr>
        <a:xfrm>
          <a:off x="85725" y="12906375"/>
          <a:ext cx="5324475" cy="1028700"/>
        </a:xfrm>
        <a:prstGeom prst="rect">
          <a:avLst/>
        </a:prstGeom>
        <a:noFill/>
        <a:ln w="9525" cmpd="sng">
          <a:noFill/>
        </a:ln>
      </xdr:spPr>
    </xdr:pic>
    <xdr:clientData/>
  </xdr:twoCellAnchor>
  <xdr:twoCellAnchor editAs="oneCell">
    <xdr:from>
      <xdr:col>0</xdr:col>
      <xdr:colOff>66675</xdr:colOff>
      <xdr:row>82</xdr:row>
      <xdr:rowOff>104775</xdr:rowOff>
    </xdr:from>
    <xdr:to>
      <xdr:col>0</xdr:col>
      <xdr:colOff>5429250</xdr:colOff>
      <xdr:row>96</xdr:row>
      <xdr:rowOff>142875</xdr:rowOff>
    </xdr:to>
    <xdr:pic>
      <xdr:nvPicPr>
        <xdr:cNvPr id="7" name="TextBox7"/>
        <xdr:cNvPicPr preferRelativeResize="1">
          <a:picLocks noChangeAspect="1"/>
        </xdr:cNvPicPr>
      </xdr:nvPicPr>
      <xdr:blipFill>
        <a:blip r:embed="rId7"/>
        <a:stretch>
          <a:fillRect/>
        </a:stretch>
      </xdr:blipFill>
      <xdr:spPr>
        <a:xfrm>
          <a:off x="66675" y="14039850"/>
          <a:ext cx="5362575" cy="2305050"/>
        </a:xfrm>
        <a:prstGeom prst="rect">
          <a:avLst/>
        </a:prstGeom>
        <a:noFill/>
        <a:ln w="9525" cmpd="sng">
          <a:noFill/>
        </a:ln>
      </xdr:spPr>
    </xdr:pic>
    <xdr:clientData/>
  </xdr:twoCellAnchor>
  <xdr:twoCellAnchor editAs="oneCell">
    <xdr:from>
      <xdr:col>0</xdr:col>
      <xdr:colOff>66675</xdr:colOff>
      <xdr:row>97</xdr:row>
      <xdr:rowOff>95250</xdr:rowOff>
    </xdr:from>
    <xdr:to>
      <xdr:col>0</xdr:col>
      <xdr:colOff>5429250</xdr:colOff>
      <xdr:row>111</xdr:row>
      <xdr:rowOff>133350</xdr:rowOff>
    </xdr:to>
    <xdr:pic>
      <xdr:nvPicPr>
        <xdr:cNvPr id="8" name="TextBox8"/>
        <xdr:cNvPicPr preferRelativeResize="1">
          <a:picLocks noChangeAspect="1"/>
        </xdr:cNvPicPr>
      </xdr:nvPicPr>
      <xdr:blipFill>
        <a:blip r:embed="rId8"/>
        <a:stretch>
          <a:fillRect/>
        </a:stretch>
      </xdr:blipFill>
      <xdr:spPr>
        <a:xfrm>
          <a:off x="66675" y="16459200"/>
          <a:ext cx="5362575" cy="2305050"/>
        </a:xfrm>
        <a:prstGeom prst="rect">
          <a:avLst/>
        </a:prstGeom>
        <a:noFill/>
        <a:ln w="9525" cmpd="sng">
          <a:noFill/>
        </a:ln>
      </xdr:spPr>
    </xdr:pic>
    <xdr:clientData/>
  </xdr:twoCellAnchor>
  <xdr:twoCellAnchor editAs="oneCell">
    <xdr:from>
      <xdr:col>1</xdr:col>
      <xdr:colOff>28575</xdr:colOff>
      <xdr:row>3</xdr:row>
      <xdr:rowOff>38100</xdr:rowOff>
    </xdr:from>
    <xdr:to>
      <xdr:col>4</xdr:col>
      <xdr:colOff>180975</xdr:colOff>
      <xdr:row>13</xdr:row>
      <xdr:rowOff>142875</xdr:rowOff>
    </xdr:to>
    <xdr:pic>
      <xdr:nvPicPr>
        <xdr:cNvPr id="9" name="TextBox9"/>
        <xdr:cNvPicPr preferRelativeResize="1">
          <a:picLocks noChangeAspect="1"/>
        </xdr:cNvPicPr>
      </xdr:nvPicPr>
      <xdr:blipFill>
        <a:blip r:embed="rId9"/>
        <a:stretch>
          <a:fillRect/>
        </a:stretch>
      </xdr:blipFill>
      <xdr:spPr>
        <a:xfrm>
          <a:off x="5495925" y="657225"/>
          <a:ext cx="24669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lankCoresbyT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e by Tons "/>
    </sheetNames>
    <definedNames>
      <definedName name="Button1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E195"/>
  <sheetViews>
    <sheetView tabSelected="1" workbookViewId="0" topLeftCell="A1">
      <selection activeCell="B3" sqref="B3"/>
    </sheetView>
  </sheetViews>
  <sheetFormatPr defaultColWidth="9.140625" defaultRowHeight="12.75"/>
  <cols>
    <col min="1" max="1" width="82.00390625" style="0" bestFit="1" customWidth="1"/>
    <col min="2" max="2" width="16.421875" style="0" customWidth="1"/>
  </cols>
  <sheetData>
    <row r="1" ht="16.5" thickBot="1">
      <c r="A1" s="192" t="s">
        <v>329</v>
      </c>
    </row>
    <row r="2" spans="1:2" ht="15.75">
      <c r="A2" s="243">
        <v>39548</v>
      </c>
      <c r="B2" s="238" t="s">
        <v>242</v>
      </c>
    </row>
    <row r="3" spans="1:2" ht="16.5" thickBot="1">
      <c r="A3" s="192"/>
      <c r="B3" s="378">
        <v>35983</v>
      </c>
    </row>
    <row r="4" ht="15.75">
      <c r="A4" s="192"/>
    </row>
    <row r="5" ht="15">
      <c r="A5" s="175"/>
    </row>
    <row r="14" ht="15">
      <c r="E14" s="175"/>
    </row>
    <row r="15" ht="15">
      <c r="E15" s="175"/>
    </row>
    <row r="16" ht="15">
      <c r="E16" s="175"/>
    </row>
    <row r="17" spans="3:5" ht="15">
      <c r="C17" s="244"/>
      <c r="E17" s="175"/>
    </row>
    <row r="18" ht="15">
      <c r="E18" s="175"/>
    </row>
    <row r="19" ht="15">
      <c r="E19" s="175"/>
    </row>
    <row r="20" ht="15">
      <c r="E20" s="175"/>
    </row>
    <row r="21" ht="15">
      <c r="E21" s="175"/>
    </row>
    <row r="22" ht="15">
      <c r="E22" s="175"/>
    </row>
    <row r="23" ht="15">
      <c r="E23" s="175"/>
    </row>
    <row r="24" ht="15">
      <c r="E24" s="175"/>
    </row>
    <row r="25" ht="15">
      <c r="E25" s="175"/>
    </row>
    <row r="26" ht="15">
      <c r="E26" s="175"/>
    </row>
    <row r="27" ht="15">
      <c r="E27" s="175"/>
    </row>
    <row r="28" ht="15">
      <c r="E28" s="176"/>
    </row>
    <row r="29" ht="15">
      <c r="E29" s="176"/>
    </row>
    <row r="113" ht="13.5" thickBot="1"/>
    <row r="114" ht="12.75">
      <c r="A114" s="427" t="s">
        <v>272</v>
      </c>
    </row>
    <row r="115" ht="12.75">
      <c r="A115" s="428"/>
    </row>
    <row r="116" ht="12.75">
      <c r="A116" s="428"/>
    </row>
    <row r="117" ht="12.75">
      <c r="A117" s="428"/>
    </row>
    <row r="118" ht="12.75">
      <c r="A118" s="428"/>
    </row>
    <row r="119" ht="12.75">
      <c r="A119" s="428"/>
    </row>
    <row r="120" ht="12.75">
      <c r="A120" s="428"/>
    </row>
    <row r="121" ht="12.75">
      <c r="A121" s="428"/>
    </row>
    <row r="122" ht="12.75">
      <c r="A122" s="428"/>
    </row>
    <row r="123" ht="12.75">
      <c r="A123" s="428"/>
    </row>
    <row r="124" ht="12.75">
      <c r="A124" s="428"/>
    </row>
    <row r="125" ht="12.75">
      <c r="A125" s="428"/>
    </row>
    <row r="126" ht="12.75">
      <c r="A126" s="428"/>
    </row>
    <row r="127" ht="12.75">
      <c r="A127" s="428"/>
    </row>
    <row r="128" ht="12.75">
      <c r="A128" s="428"/>
    </row>
    <row r="129" ht="12.75">
      <c r="A129" s="428"/>
    </row>
    <row r="130" ht="12.75">
      <c r="A130" s="428"/>
    </row>
    <row r="131" ht="12.75">
      <c r="A131" s="428"/>
    </row>
    <row r="132" ht="12.75">
      <c r="A132" s="428"/>
    </row>
    <row r="133" ht="12.75">
      <c r="A133" s="428"/>
    </row>
    <row r="134" ht="12.75">
      <c r="A134" s="428"/>
    </row>
    <row r="135" ht="12.75">
      <c r="A135" s="428"/>
    </row>
    <row r="136" ht="12.75">
      <c r="A136" s="428"/>
    </row>
    <row r="137" ht="12.75">
      <c r="A137" s="428"/>
    </row>
    <row r="138" ht="12.75">
      <c r="A138" s="428"/>
    </row>
    <row r="139" ht="12.75">
      <c r="A139" s="428"/>
    </row>
    <row r="140" ht="12.75">
      <c r="A140" s="428"/>
    </row>
    <row r="141" ht="12.75">
      <c r="A141" s="428"/>
    </row>
    <row r="142" ht="13.5" thickBot="1">
      <c r="A142" s="429"/>
    </row>
    <row r="143" ht="12.75">
      <c r="A143" s="427" t="s">
        <v>301</v>
      </c>
    </row>
    <row r="144" ht="12.75">
      <c r="A144" s="430"/>
    </row>
    <row r="145" ht="12.75">
      <c r="A145" s="430"/>
    </row>
    <row r="146" ht="12.75">
      <c r="A146" s="430"/>
    </row>
    <row r="147" ht="12.75">
      <c r="A147" s="430"/>
    </row>
    <row r="148" ht="12.75">
      <c r="A148" s="430"/>
    </row>
    <row r="149" ht="12.75">
      <c r="A149" s="430"/>
    </row>
    <row r="150" ht="12.75">
      <c r="A150" s="430"/>
    </row>
    <row r="151" ht="12.75">
      <c r="A151" s="430"/>
    </row>
    <row r="152" ht="12.75">
      <c r="A152" s="430"/>
    </row>
    <row r="153" ht="12.75">
      <c r="A153" s="430"/>
    </row>
    <row r="154" ht="12.75">
      <c r="A154" s="430"/>
    </row>
    <row r="155" ht="12.75">
      <c r="A155" s="430"/>
    </row>
    <row r="156" ht="12.75">
      <c r="A156" s="430"/>
    </row>
    <row r="157" ht="12.75">
      <c r="A157" s="430"/>
    </row>
    <row r="158" ht="12.75">
      <c r="A158" s="430"/>
    </row>
    <row r="159" ht="12.75">
      <c r="A159" s="430"/>
    </row>
    <row r="160" ht="12.75">
      <c r="A160" s="430"/>
    </row>
    <row r="161" ht="12.75">
      <c r="A161" s="430"/>
    </row>
    <row r="162" ht="12.75">
      <c r="A162" s="430"/>
    </row>
    <row r="163" ht="12.75">
      <c r="A163" s="430"/>
    </row>
    <row r="164" ht="12.75">
      <c r="A164" s="430"/>
    </row>
    <row r="165" ht="12.75">
      <c r="A165" s="430"/>
    </row>
    <row r="166" ht="12.75">
      <c r="A166" s="430"/>
    </row>
    <row r="167" ht="12.75">
      <c r="A167" s="430"/>
    </row>
    <row r="168" ht="12.75">
      <c r="A168" s="430"/>
    </row>
    <row r="169" ht="12.75">
      <c r="A169" s="430"/>
    </row>
    <row r="170" ht="12.75">
      <c r="A170" s="430"/>
    </row>
    <row r="171" ht="12.75">
      <c r="A171" s="430"/>
    </row>
    <row r="172" ht="12.75">
      <c r="A172" s="430"/>
    </row>
    <row r="173" ht="12.75">
      <c r="A173" s="430"/>
    </row>
    <row r="174" ht="12.75">
      <c r="A174" s="430"/>
    </row>
    <row r="175" ht="12.75">
      <c r="A175" s="430"/>
    </row>
    <row r="176" ht="12.75">
      <c r="A176" s="430"/>
    </row>
    <row r="177" ht="12.75">
      <c r="A177" s="430"/>
    </row>
    <row r="178" ht="12.75">
      <c r="A178" s="430"/>
    </row>
    <row r="179" ht="12.75">
      <c r="A179" s="430"/>
    </row>
    <row r="180" ht="12.75">
      <c r="A180" s="430"/>
    </row>
    <row r="181" ht="13.5" thickBot="1">
      <c r="A181" s="431"/>
    </row>
    <row r="183" ht="12.75">
      <c r="A183" t="s">
        <v>327</v>
      </c>
    </row>
    <row r="184" ht="12.75">
      <c r="A184" t="s">
        <v>323</v>
      </c>
    </row>
    <row r="186" ht="12.75">
      <c r="A186" t="s">
        <v>324</v>
      </c>
    </row>
    <row r="188" ht="12.75">
      <c r="A188" t="s">
        <v>325</v>
      </c>
    </row>
    <row r="190" ht="12.75">
      <c r="A190" t="s">
        <v>326</v>
      </c>
    </row>
    <row r="192" ht="12.75">
      <c r="A192" t="s">
        <v>328</v>
      </c>
    </row>
    <row r="194" ht="12.75">
      <c r="A194" t="s">
        <v>330</v>
      </c>
    </row>
    <row r="195" ht="12.75">
      <c r="A195" t="s">
        <v>331</v>
      </c>
    </row>
  </sheetData>
  <sheetProtection password="D86C" sheet="1" objects="1" scenarios="1"/>
  <mergeCells count="2">
    <mergeCell ref="A114:A142"/>
    <mergeCell ref="A143:A181"/>
  </mergeCells>
  <printOptions/>
  <pageMargins left="0.75" right="0.75" top="1" bottom="1" header="0.5" footer="0.5"/>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311"/>
  <dimension ref="A1:AK76"/>
  <sheetViews>
    <sheetView showGridLines="0" zoomScale="75" zoomScaleNormal="75" zoomScaleSheetLayoutView="75" workbookViewId="0" topLeftCell="A1">
      <selection activeCell="E5" sqref="E5:F5"/>
    </sheetView>
  </sheetViews>
  <sheetFormatPr defaultColWidth="9.140625" defaultRowHeight="12.75"/>
  <cols>
    <col min="1" max="1" width="4.7109375" style="0" customWidth="1"/>
    <col min="2" max="2" width="9.140625" style="0" hidden="1" customWidth="1"/>
    <col min="3" max="3" width="15.140625" style="18" customWidth="1"/>
    <col min="4" max="4" width="19.57421875" style="0" customWidth="1"/>
    <col min="5" max="5" width="11.00390625" style="0" customWidth="1"/>
    <col min="11" max="11" width="15.28125" style="0" bestFit="1" customWidth="1"/>
    <col min="13" max="13" width="14.421875" style="0" bestFit="1" customWidth="1"/>
    <col min="14" max="14" width="10.57421875" style="0" bestFit="1" customWidth="1"/>
    <col min="15" max="15" width="12.7109375" style="0" customWidth="1"/>
    <col min="16" max="16" width="4.7109375" style="0" customWidth="1"/>
    <col min="17" max="36" width="0" style="0" hidden="1" customWidth="1"/>
    <col min="37" max="37" width="11.7109375" style="159" hidden="1" customWidth="1"/>
    <col min="38" max="45" width="0" style="0" hidden="1" customWidth="1"/>
  </cols>
  <sheetData>
    <row r="1" spans="1:31" ht="12.75">
      <c r="A1" s="182"/>
      <c r="U1" s="65"/>
      <c r="V1" s="7"/>
      <c r="X1" s="12"/>
      <c r="Y1" s="12"/>
      <c r="AC1" s="66"/>
      <c r="AD1" s="66"/>
      <c r="AE1" s="66"/>
    </row>
    <row r="2" spans="1:31" ht="12.75">
      <c r="A2" s="18"/>
      <c r="B2" s="18"/>
      <c r="D2" s="18"/>
      <c r="E2" s="18"/>
      <c r="F2" s="18"/>
      <c r="G2" s="18"/>
      <c r="H2" s="18"/>
      <c r="I2" s="18"/>
      <c r="J2" s="18"/>
      <c r="K2" s="18"/>
      <c r="L2" s="18"/>
      <c r="M2" s="18"/>
      <c r="N2" s="18"/>
      <c r="O2" s="18"/>
      <c r="P2" s="18"/>
      <c r="U2" s="65"/>
      <c r="V2" s="7"/>
      <c r="X2" s="12"/>
      <c r="Y2" s="12"/>
      <c r="AC2" s="66"/>
      <c r="AD2" s="66"/>
      <c r="AE2" s="66"/>
    </row>
    <row r="3" spans="1:32" ht="19.5">
      <c r="A3" s="18"/>
      <c r="B3" s="18"/>
      <c r="C3" s="183"/>
      <c r="D3" s="18"/>
      <c r="E3" s="18"/>
      <c r="F3" s="18"/>
      <c r="G3" s="184" t="s">
        <v>26</v>
      </c>
      <c r="H3" s="18"/>
      <c r="I3" s="18"/>
      <c r="J3" s="18"/>
      <c r="K3" s="18"/>
      <c r="L3" s="18"/>
      <c r="M3" s="18"/>
      <c r="N3" s="18"/>
      <c r="O3" s="18"/>
      <c r="P3" s="18"/>
      <c r="U3" s="65"/>
      <c r="V3" s="65"/>
      <c r="W3" s="65"/>
      <c r="X3" s="65"/>
      <c r="Y3" s="7"/>
      <c r="Z3" s="66" t="s">
        <v>28</v>
      </c>
      <c r="AA3" s="66" t="s">
        <v>29</v>
      </c>
      <c r="AB3" s="7" t="s">
        <v>8</v>
      </c>
      <c r="AC3" s="7"/>
      <c r="AE3" s="7"/>
      <c r="AF3" s="66"/>
    </row>
    <row r="4" spans="1:32" ht="12.75">
      <c r="A4" s="18"/>
      <c r="B4" s="18"/>
      <c r="D4" s="18"/>
      <c r="E4" s="18"/>
      <c r="F4" s="18"/>
      <c r="G4" s="18"/>
      <c r="H4" s="18"/>
      <c r="I4" s="18"/>
      <c r="J4" s="18"/>
      <c r="K4" s="18"/>
      <c r="L4" s="18"/>
      <c r="M4" s="18"/>
      <c r="N4" s="18"/>
      <c r="O4" s="18"/>
      <c r="P4" s="18"/>
      <c r="Q4" s="18"/>
      <c r="U4" s="65"/>
      <c r="V4" s="65"/>
      <c r="W4" s="65"/>
      <c r="X4" s="65"/>
      <c r="Y4" s="7"/>
      <c r="Z4" s="66" t="s">
        <v>34</v>
      </c>
      <c r="AA4" s="66" t="s">
        <v>34</v>
      </c>
      <c r="AB4" s="7" t="s">
        <v>35</v>
      </c>
      <c r="AD4" s="7" t="s">
        <v>37</v>
      </c>
      <c r="AE4" s="7" t="s">
        <v>37</v>
      </c>
      <c r="AF4" s="66"/>
    </row>
    <row r="5" spans="1:37" ht="24.75" customHeight="1">
      <c r="A5" s="18"/>
      <c r="B5" s="18"/>
      <c r="D5" s="256" t="s">
        <v>0</v>
      </c>
      <c r="E5" s="394"/>
      <c r="F5" s="395"/>
      <c r="G5" s="394" t="s">
        <v>39</v>
      </c>
      <c r="H5" s="395"/>
      <c r="I5" s="394"/>
      <c r="J5" s="395"/>
      <c r="K5" s="189" t="s">
        <v>40</v>
      </c>
      <c r="L5" s="434"/>
      <c r="M5" s="523"/>
      <c r="N5" s="4" t="s">
        <v>33</v>
      </c>
      <c r="O5" s="230"/>
      <c r="P5" s="18"/>
      <c r="Q5" s="18"/>
      <c r="Y5" s="7" t="s">
        <v>37</v>
      </c>
      <c r="Z5" s="66" t="s">
        <v>8</v>
      </c>
      <c r="AA5" s="66" t="s">
        <v>8</v>
      </c>
      <c r="AB5" s="7" t="s">
        <v>37</v>
      </c>
      <c r="AC5" s="7"/>
      <c r="AD5" s="7" t="s">
        <v>77</v>
      </c>
      <c r="AE5" s="7" t="s">
        <v>82</v>
      </c>
      <c r="AF5" s="7" t="s">
        <v>37</v>
      </c>
      <c r="AI5" s="85" t="s">
        <v>55</v>
      </c>
      <c r="AK5" s="1" t="s">
        <v>153</v>
      </c>
    </row>
    <row r="6" spans="1:37" ht="24.75" customHeight="1">
      <c r="A6" s="18"/>
      <c r="B6" s="18"/>
      <c r="D6" s="219" t="s">
        <v>2</v>
      </c>
      <c r="E6" s="524"/>
      <c r="F6" s="525"/>
      <c r="G6" s="411" t="s">
        <v>44</v>
      </c>
      <c r="H6" s="412"/>
      <c r="I6" s="526"/>
      <c r="J6" s="527"/>
      <c r="K6" s="190" t="s">
        <v>45</v>
      </c>
      <c r="L6" s="528"/>
      <c r="M6" s="529"/>
      <c r="N6" s="4" t="s">
        <v>41</v>
      </c>
      <c r="O6" s="231"/>
      <c r="P6" s="18"/>
      <c r="Q6" s="18"/>
      <c r="Y6" s="7" t="s">
        <v>88</v>
      </c>
      <c r="Z6" s="12">
        <v>0</v>
      </c>
      <c r="AA6" s="12">
        <f>F8</f>
        <v>0</v>
      </c>
      <c r="AB6" s="12">
        <f>ABS(AA6-Z6)</f>
        <v>0</v>
      </c>
      <c r="AC6" s="7"/>
      <c r="AD6" s="12">
        <f>N12</f>
        <v>0</v>
      </c>
      <c r="AE6" s="12">
        <f>AD6+Z6</f>
        <v>0</v>
      </c>
      <c r="AF6" s="7" t="s">
        <v>88</v>
      </c>
      <c r="AI6" s="86" t="s">
        <v>57</v>
      </c>
      <c r="AK6" s="1" t="s">
        <v>154</v>
      </c>
    </row>
    <row r="7" spans="1:37" ht="24.75" customHeight="1">
      <c r="A7" s="18"/>
      <c r="B7" s="18"/>
      <c r="D7" s="413" t="s">
        <v>109</v>
      </c>
      <c r="E7" s="414"/>
      <c r="F7" s="229"/>
      <c r="G7" s="413" t="s">
        <v>67</v>
      </c>
      <c r="H7" s="414"/>
      <c r="I7" s="4"/>
      <c r="J7" s="4" t="s">
        <v>63</v>
      </c>
      <c r="K7" s="232"/>
      <c r="L7" s="4" t="s">
        <v>110</v>
      </c>
      <c r="M7" s="233"/>
      <c r="N7" s="4" t="s">
        <v>235</v>
      </c>
      <c r="O7" s="231"/>
      <c r="P7" s="18"/>
      <c r="Q7" s="18"/>
      <c r="Y7" s="7"/>
      <c r="Z7" s="12"/>
      <c r="AA7" s="12"/>
      <c r="AB7" s="12"/>
      <c r="AF7" s="7"/>
      <c r="AI7" s="86" t="s">
        <v>59</v>
      </c>
      <c r="AK7" s="1" t="s">
        <v>155</v>
      </c>
    </row>
    <row r="8" spans="1:37" ht="24.75" customHeight="1">
      <c r="A8" s="18"/>
      <c r="B8" s="18"/>
      <c r="D8" s="411" t="s">
        <v>111</v>
      </c>
      <c r="E8" s="412"/>
      <c r="F8" s="69"/>
      <c r="G8" s="415" t="s">
        <v>69</v>
      </c>
      <c r="H8" s="416"/>
      <c r="I8" s="69"/>
      <c r="J8" s="4" t="s">
        <v>5</v>
      </c>
      <c r="K8" s="234"/>
      <c r="L8" s="17" t="s">
        <v>60</v>
      </c>
      <c r="M8" s="235"/>
      <c r="N8" s="17" t="s">
        <v>53</v>
      </c>
      <c r="O8" s="236"/>
      <c r="P8" s="18"/>
      <c r="Q8" s="18"/>
      <c r="R8" t="s">
        <v>8</v>
      </c>
      <c r="S8" t="s">
        <v>9</v>
      </c>
      <c r="X8" s="7"/>
      <c r="Y8" s="7" t="s">
        <v>89</v>
      </c>
      <c r="Z8" s="12">
        <f>AA6</f>
        <v>0</v>
      </c>
      <c r="AA8" s="12">
        <f>Z8+F8</f>
        <v>0</v>
      </c>
      <c r="AB8" s="12">
        <f>ABS(AA8-Z8)</f>
        <v>0</v>
      </c>
      <c r="AC8" s="7"/>
      <c r="AD8" s="12">
        <f>N13</f>
        <v>0</v>
      </c>
      <c r="AE8" s="12">
        <f>AD8+Z8</f>
        <v>0</v>
      </c>
      <c r="AF8" s="7" t="s">
        <v>89</v>
      </c>
      <c r="AI8" s="86" t="s">
        <v>62</v>
      </c>
      <c r="AK8" s="1" t="s">
        <v>156</v>
      </c>
    </row>
    <row r="9" spans="1:37" ht="12" customHeight="1">
      <c r="A9" s="18"/>
      <c r="B9" s="18"/>
      <c r="D9" s="18"/>
      <c r="E9" s="18"/>
      <c r="F9" s="18"/>
      <c r="G9" s="18"/>
      <c r="H9" s="18"/>
      <c r="I9" s="18"/>
      <c r="J9" s="18"/>
      <c r="K9" s="18"/>
      <c r="L9" s="18"/>
      <c r="M9" s="18"/>
      <c r="N9" s="18"/>
      <c r="O9" s="18"/>
      <c r="P9" s="18"/>
      <c r="Q9" s="18"/>
      <c r="R9">
        <v>0.1</v>
      </c>
      <c r="S9">
        <v>0</v>
      </c>
      <c r="X9" s="7"/>
      <c r="Y9" s="7"/>
      <c r="Z9" s="12"/>
      <c r="AA9" s="12"/>
      <c r="AB9" s="12"/>
      <c r="AF9" s="7"/>
      <c r="AI9" s="86" t="s">
        <v>64</v>
      </c>
      <c r="AK9" s="1" t="s">
        <v>157</v>
      </c>
    </row>
    <row r="10" spans="1:37" ht="15" customHeight="1">
      <c r="A10" s="18"/>
      <c r="B10" s="18"/>
      <c r="D10" s="18"/>
      <c r="E10" s="18"/>
      <c r="F10" s="18"/>
      <c r="G10" s="18"/>
      <c r="H10" s="212"/>
      <c r="I10" s="213"/>
      <c r="J10" s="33" t="s">
        <v>75</v>
      </c>
      <c r="K10" s="33" t="s">
        <v>34</v>
      </c>
      <c r="L10" s="13" t="s">
        <v>76</v>
      </c>
      <c r="M10" s="13" t="s">
        <v>112</v>
      </c>
      <c r="N10" s="13" t="s">
        <v>37</v>
      </c>
      <c r="O10" s="13" t="s">
        <v>37</v>
      </c>
      <c r="P10" s="53"/>
      <c r="Q10" s="18"/>
      <c r="R10">
        <v>1</v>
      </c>
      <c r="S10">
        <v>1</v>
      </c>
      <c r="X10" s="7"/>
      <c r="Y10" s="7" t="s">
        <v>113</v>
      </c>
      <c r="Z10" s="12">
        <f>IF($I$7&lt;2,"",AA8)</f>
      </c>
      <c r="AA10" s="12">
        <f>IF(Z10="","",Z10+$F$8)</f>
      </c>
      <c r="AB10" s="12">
        <f>IF(Z10="","",ABS(AA10-Z10))</f>
      </c>
      <c r="AC10" s="7"/>
      <c r="AD10" s="12">
        <f>N14</f>
      </c>
      <c r="AE10" s="12">
        <f>IF(Z10="","",AD10+Z10)</f>
      </c>
      <c r="AF10" s="7" t="s">
        <v>113</v>
      </c>
      <c r="AI10" s="86" t="s">
        <v>65</v>
      </c>
      <c r="AK10" s="1" t="s">
        <v>158</v>
      </c>
    </row>
    <row r="11" spans="1:37" ht="15" customHeight="1">
      <c r="A11" s="18"/>
      <c r="B11" s="18"/>
      <c r="C11" s="411" t="s">
        <v>114</v>
      </c>
      <c r="D11" s="594"/>
      <c r="E11" s="412"/>
      <c r="F11" s="64"/>
      <c r="G11" s="64"/>
      <c r="H11" s="214" t="s">
        <v>13</v>
      </c>
      <c r="I11" s="215" t="s">
        <v>10</v>
      </c>
      <c r="J11" s="36" t="s">
        <v>81</v>
      </c>
      <c r="K11" s="37" t="s">
        <v>82</v>
      </c>
      <c r="L11" s="38" t="s">
        <v>83</v>
      </c>
      <c r="M11" s="38" t="s">
        <v>37</v>
      </c>
      <c r="N11" s="38" t="s">
        <v>77</v>
      </c>
      <c r="O11" s="38" t="s">
        <v>82</v>
      </c>
      <c r="P11" s="18"/>
      <c r="Q11" s="18"/>
      <c r="R11">
        <v>601</v>
      </c>
      <c r="S11">
        <v>2</v>
      </c>
      <c r="X11" s="7"/>
      <c r="Y11" s="7"/>
      <c r="Z11" s="12"/>
      <c r="AA11" s="12"/>
      <c r="AF11" s="7"/>
      <c r="AI11" s="86" t="s">
        <v>68</v>
      </c>
      <c r="AK11" s="1" t="s">
        <v>159</v>
      </c>
    </row>
    <row r="12" spans="1:37" ht="15" customHeight="1">
      <c r="A12" s="18"/>
      <c r="B12" s="18"/>
      <c r="C12" s="38" t="s">
        <v>100</v>
      </c>
      <c r="D12" s="38" t="s">
        <v>115</v>
      </c>
      <c r="E12" s="38" t="s">
        <v>34</v>
      </c>
      <c r="F12" s="53"/>
      <c r="G12" s="53"/>
      <c r="H12" s="40" t="s">
        <v>34</v>
      </c>
      <c r="I12" s="13"/>
      <c r="J12" s="156"/>
      <c r="K12" s="41"/>
      <c r="L12" s="168"/>
      <c r="M12" s="47"/>
      <c r="N12" s="70"/>
      <c r="O12" s="71"/>
      <c r="P12" s="18"/>
      <c r="Q12" s="18"/>
      <c r="R12">
        <v>1001</v>
      </c>
      <c r="S12">
        <v>3</v>
      </c>
      <c r="X12" s="7"/>
      <c r="Y12" s="7" t="s">
        <v>6</v>
      </c>
      <c r="Z12" s="12">
        <f>IF($I$7&lt;2,"",AA10)</f>
      </c>
      <c r="AA12" s="12">
        <f>IF(Z12="","",Z12+$F$8)</f>
      </c>
      <c r="AB12" s="12">
        <f>IF(Z12="","",ABS(AA12-Z12))</f>
      </c>
      <c r="AC12" s="7"/>
      <c r="AD12" s="12">
        <f>N15</f>
      </c>
      <c r="AE12" s="12">
        <f>IF(Z12="","",AD12+Z12)</f>
      </c>
      <c r="AF12" s="7" t="s">
        <v>6</v>
      </c>
      <c r="AI12" s="86" t="s">
        <v>72</v>
      </c>
      <c r="AK12" s="1" t="s">
        <v>160</v>
      </c>
    </row>
    <row r="13" spans="1:37" ht="15" customHeight="1">
      <c r="A13" s="18"/>
      <c r="B13" s="18"/>
      <c r="C13" s="48" t="s">
        <v>101</v>
      </c>
      <c r="D13" s="23" t="s">
        <v>116</v>
      </c>
      <c r="E13" s="23">
        <v>1</v>
      </c>
      <c r="F13" s="53"/>
      <c r="G13" s="53"/>
      <c r="H13" s="206"/>
      <c r="I13" s="4"/>
      <c r="J13" s="157"/>
      <c r="K13" s="46"/>
      <c r="L13" s="44"/>
      <c r="M13" s="47"/>
      <c r="N13" s="70"/>
      <c r="O13" s="72"/>
      <c r="P13" s="18"/>
      <c r="Q13" s="18"/>
      <c r="R13">
        <v>1601</v>
      </c>
      <c r="S13">
        <v>4</v>
      </c>
      <c r="X13" s="7"/>
      <c r="Y13" s="7"/>
      <c r="Z13" s="12"/>
      <c r="AA13" s="12"/>
      <c r="AF13" s="7"/>
      <c r="AI13" s="86" t="s">
        <v>73</v>
      </c>
      <c r="AK13" s="1" t="s">
        <v>161</v>
      </c>
    </row>
    <row r="14" spans="1:37" ht="15" customHeight="1">
      <c r="A14" s="18"/>
      <c r="B14" s="18"/>
      <c r="C14" s="23" t="s">
        <v>102</v>
      </c>
      <c r="D14" s="23" t="s">
        <v>117</v>
      </c>
      <c r="E14" s="23">
        <v>2</v>
      </c>
      <c r="F14" s="53"/>
      <c r="G14" s="53"/>
      <c r="H14" s="237" t="s">
        <v>34</v>
      </c>
      <c r="I14" s="120" t="str">
        <f>IF(H15=" "," ",H15+0.1)</f>
        <v> </v>
      </c>
      <c r="J14" s="158"/>
      <c r="K14" s="41"/>
      <c r="L14" s="168"/>
      <c r="M14" s="47">
        <f>IF(K15="","",K15/2)</f>
      </c>
      <c r="N14" s="70">
        <f>IF(M14="","",L14*M14)</f>
      </c>
      <c r="O14" s="71">
        <f aca="true" t="shared" si="0" ref="O14:O23">W22</f>
      </c>
      <c r="P14" s="18"/>
      <c r="Q14" s="18"/>
      <c r="R14">
        <v>3601</v>
      </c>
      <c r="S14">
        <v>5</v>
      </c>
      <c r="Y14" s="7" t="s">
        <v>91</v>
      </c>
      <c r="Z14" s="12">
        <f>IF($I$7&lt;3,"",AA12)</f>
      </c>
      <c r="AA14" s="12">
        <f>IF(Z14="","",Z14+$F$8)</f>
      </c>
      <c r="AB14" s="12">
        <f>IF(Z14="","",ABS(AA14-Z14))</f>
      </c>
      <c r="AC14" s="7"/>
      <c r="AD14" s="12">
        <f>N16</f>
      </c>
      <c r="AE14" s="12">
        <f>IF(Z14="","",AD14+Z14)</f>
      </c>
      <c r="AF14" s="7" t="s">
        <v>91</v>
      </c>
      <c r="AI14" s="86" t="s">
        <v>74</v>
      </c>
      <c r="AK14" s="1" t="s">
        <v>162</v>
      </c>
    </row>
    <row r="15" spans="1:37" ht="15" customHeight="1">
      <c r="A15" s="18"/>
      <c r="B15" s="18"/>
      <c r="C15" s="48" t="s">
        <v>103</v>
      </c>
      <c r="D15" s="23" t="s">
        <v>118</v>
      </c>
      <c r="E15" s="23">
        <v>3</v>
      </c>
      <c r="F15" s="53"/>
      <c r="G15" s="53"/>
      <c r="H15" s="206" t="str">
        <f>IF($I$7&gt;B22,H13+1," ")</f>
        <v> </v>
      </c>
      <c r="I15" s="120" t="str">
        <f>IF(H15=" "," ",H15+0.2)</f>
        <v> </v>
      </c>
      <c r="J15" s="157"/>
      <c r="K15" s="50">
        <f>IF($I$7&gt;1,$I$8,"")</f>
      </c>
      <c r="L15" s="44"/>
      <c r="M15" s="47">
        <f>IF(K15="","",K15/2)</f>
      </c>
      <c r="N15" s="70">
        <f>IF(M14="","",L15*M15)</f>
      </c>
      <c r="O15" s="71">
        <f t="shared" si="0"/>
      </c>
      <c r="P15" s="18"/>
      <c r="Q15" s="18"/>
      <c r="R15">
        <v>5001</v>
      </c>
      <c r="S15">
        <v>6</v>
      </c>
      <c r="Y15" s="7"/>
      <c r="Z15" s="12"/>
      <c r="AA15" s="12"/>
      <c r="AF15" s="7"/>
      <c r="AK15" s="1" t="s">
        <v>163</v>
      </c>
    </row>
    <row r="16" spans="1:37" ht="15" customHeight="1">
      <c r="A16" s="18"/>
      <c r="B16" s="18"/>
      <c r="C16" s="23" t="s">
        <v>104</v>
      </c>
      <c r="D16" s="23" t="s">
        <v>119</v>
      </c>
      <c r="E16" s="23">
        <v>4</v>
      </c>
      <c r="F16" s="53"/>
      <c r="G16" s="53"/>
      <c r="H16" s="237" t="s">
        <v>34</v>
      </c>
      <c r="I16" s="120" t="str">
        <f>IF(H17=" "," ",H17+0.1)</f>
        <v> </v>
      </c>
      <c r="J16" s="158"/>
      <c r="K16" s="41"/>
      <c r="L16" s="168"/>
      <c r="M16" s="47">
        <f>IF(K17="","",K17/2)</f>
      </c>
      <c r="N16" s="70">
        <f>IF(M16="","",L16*M16)</f>
      </c>
      <c r="O16" s="71">
        <f t="shared" si="0"/>
      </c>
      <c r="P16" s="18"/>
      <c r="Q16" s="18"/>
      <c r="Y16" s="7" t="s">
        <v>92</v>
      </c>
      <c r="Z16" s="12">
        <f>IF($I$7&lt;3,"",AA14)</f>
      </c>
      <c r="AA16" s="12">
        <f>IF(Z16="","",Z16+$F$8)</f>
      </c>
      <c r="AB16" s="12">
        <f>IF(Z16="","",ABS(AA16-Z16))</f>
      </c>
      <c r="AC16" s="7"/>
      <c r="AD16" s="12">
        <f>N17</f>
      </c>
      <c r="AE16" s="12">
        <f>IF(Z16="","",AD16+Z16)</f>
      </c>
      <c r="AF16" s="7" t="s">
        <v>92</v>
      </c>
      <c r="AK16" s="1" t="s">
        <v>164</v>
      </c>
    </row>
    <row r="17" spans="1:37" ht="15" customHeight="1">
      <c r="A17" s="18"/>
      <c r="B17" s="18"/>
      <c r="C17" s="48" t="s">
        <v>105</v>
      </c>
      <c r="D17" s="23" t="s">
        <v>120</v>
      </c>
      <c r="E17" s="23">
        <v>5</v>
      </c>
      <c r="F17" s="53"/>
      <c r="G17" s="53"/>
      <c r="H17" s="206" t="str">
        <f>IF($I$7&gt;B25,H15+1," ")</f>
        <v> </v>
      </c>
      <c r="I17" s="120" t="str">
        <f>IF(H17=" "," ",H17+0.2)</f>
        <v> </v>
      </c>
      <c r="J17" s="157"/>
      <c r="K17" s="50">
        <f>IF($I$7&gt;2,$I$8,"")</f>
      </c>
      <c r="L17" s="44"/>
      <c r="M17" s="47">
        <f>IF(K17="","",K17/2)</f>
      </c>
      <c r="N17" s="70">
        <f>IF(M16="","",L17*M17)</f>
      </c>
      <c r="O17" s="71">
        <f t="shared" si="0"/>
      </c>
      <c r="P17" s="18"/>
      <c r="Q17" s="18"/>
      <c r="Y17" s="7"/>
      <c r="Z17" s="12"/>
      <c r="AA17" s="12"/>
      <c r="AF17" s="7"/>
      <c r="AK17" s="1" t="s">
        <v>165</v>
      </c>
    </row>
    <row r="18" spans="1:37" ht="15" customHeight="1">
      <c r="A18" s="18"/>
      <c r="B18" s="18"/>
      <c r="C18" s="23" t="s">
        <v>106</v>
      </c>
      <c r="D18" s="23" t="s">
        <v>233</v>
      </c>
      <c r="E18" s="23">
        <v>6</v>
      </c>
      <c r="F18" s="53"/>
      <c r="G18" s="53"/>
      <c r="H18" s="237" t="s">
        <v>34</v>
      </c>
      <c r="I18" s="120" t="str">
        <f>IF(H19=" "," ",H19+0.1)</f>
        <v> </v>
      </c>
      <c r="J18" s="158"/>
      <c r="K18" s="41"/>
      <c r="L18" s="168"/>
      <c r="M18" s="47">
        <f>IF(K19="","",K19/2)</f>
      </c>
      <c r="N18" s="70">
        <f>IF(M18="","",L18*M18)</f>
      </c>
      <c r="O18" s="71">
        <f t="shared" si="0"/>
      </c>
      <c r="P18" s="18"/>
      <c r="Q18" s="18"/>
      <c r="Y18" s="7" t="s">
        <v>93</v>
      </c>
      <c r="Z18" s="12">
        <f>IF($I$7&lt;4,"",AA16)</f>
      </c>
      <c r="AA18" s="12">
        <f>IF(Z18="","",Z18+$F$8)</f>
      </c>
      <c r="AB18" s="12">
        <f>IF(Z18="","",ABS(AA18-Z18))</f>
      </c>
      <c r="AC18" s="7"/>
      <c r="AD18" s="12">
        <f>N18</f>
      </c>
      <c r="AE18" s="12">
        <f>IF(Z18="","",AD18+Z18)</f>
      </c>
      <c r="AF18" s="7" t="s">
        <v>93</v>
      </c>
      <c r="AK18" s="1" t="s">
        <v>166</v>
      </c>
    </row>
    <row r="19" spans="1:37" ht="15" customHeight="1">
      <c r="A19" s="18"/>
      <c r="B19" s="18"/>
      <c r="D19" s="99" t="s">
        <v>122</v>
      </c>
      <c r="E19" s="18"/>
      <c r="F19" s="18"/>
      <c r="G19" s="18"/>
      <c r="H19" s="206" t="str">
        <f>IF($I$7&gt;B28,H17+1," ")</f>
        <v> </v>
      </c>
      <c r="I19" s="120" t="str">
        <f>IF(H19=" "," ",H19+0.2)</f>
        <v> </v>
      </c>
      <c r="J19" s="157"/>
      <c r="K19" s="50">
        <f>IF($I$7&gt;3,$I$8,"")</f>
      </c>
      <c r="L19" s="44"/>
      <c r="M19" s="47">
        <f>IF(K19="","",K19/2)</f>
      </c>
      <c r="N19" s="70">
        <f>IF(M18="","",L19*M19)</f>
      </c>
      <c r="O19" s="72">
        <f t="shared" si="0"/>
      </c>
      <c r="P19" s="18"/>
      <c r="Q19" s="18"/>
      <c r="V19" s="7" t="s">
        <v>37</v>
      </c>
      <c r="W19" s="7" t="s">
        <v>82</v>
      </c>
      <c r="X19" s="20"/>
      <c r="Y19" s="7"/>
      <c r="AA19" s="12"/>
      <c r="AF19" s="7"/>
      <c r="AK19" s="1" t="s">
        <v>167</v>
      </c>
    </row>
    <row r="20" spans="1:37" ht="15" customHeight="1">
      <c r="A20" s="18"/>
      <c r="B20" s="111" t="s">
        <v>87</v>
      </c>
      <c r="D20" s="99" t="s">
        <v>123</v>
      </c>
      <c r="E20" s="111"/>
      <c r="F20" s="111"/>
      <c r="G20" s="111"/>
      <c r="H20" s="237" t="s">
        <v>34</v>
      </c>
      <c r="I20" s="120" t="str">
        <f>IF(H21=" "," ",H21+0.1)</f>
        <v> </v>
      </c>
      <c r="J20" s="158"/>
      <c r="K20" s="41"/>
      <c r="L20" s="168"/>
      <c r="M20" s="47">
        <f>IF(K21="","",K21/2)</f>
      </c>
      <c r="N20" s="70">
        <f>IF(M20="","",L20*M20)</f>
      </c>
      <c r="O20" s="71">
        <f t="shared" si="0"/>
      </c>
      <c r="P20" s="18"/>
      <c r="Q20" s="18"/>
      <c r="V20" s="7" t="s">
        <v>88</v>
      </c>
      <c r="W20" s="66">
        <f>AE6</f>
        <v>0</v>
      </c>
      <c r="X20" s="73"/>
      <c r="Y20" s="7" t="s">
        <v>94</v>
      </c>
      <c r="Z20" s="12">
        <f>IF($I$7&lt;4,"",AA18)</f>
      </c>
      <c r="AA20" s="12">
        <f>IF(Z20="","",Z20+$F$8)</f>
      </c>
      <c r="AB20" s="12">
        <f>IF(Z20="","",ABS(AA20-Z20))</f>
      </c>
      <c r="AD20" s="12">
        <f>N19</f>
      </c>
      <c r="AE20" s="12">
        <f>IF(Z20="","",AD20+Z20)</f>
      </c>
      <c r="AF20" s="7" t="s">
        <v>94</v>
      </c>
      <c r="AK20" s="1" t="s">
        <v>168</v>
      </c>
    </row>
    <row r="21" spans="1:37" ht="15" customHeight="1">
      <c r="A21" s="18"/>
      <c r="B21" s="111">
        <v>1</v>
      </c>
      <c r="C21" s="111"/>
      <c r="D21" s="111"/>
      <c r="E21" s="111"/>
      <c r="F21" s="111"/>
      <c r="G21" s="111"/>
      <c r="H21" s="206" t="str">
        <f>IF($I$7&gt;B31,H19+1," ")</f>
        <v> </v>
      </c>
      <c r="I21" s="120" t="str">
        <f>IF(H21=" "," ",H21+0.2)</f>
        <v> </v>
      </c>
      <c r="J21" s="157"/>
      <c r="K21" s="50">
        <f>IF($I$7&gt;4,$I$8,"")</f>
      </c>
      <c r="L21" s="44"/>
      <c r="M21" s="47">
        <f>IF(K21="","",K21/2)</f>
      </c>
      <c r="N21" s="70">
        <f>IF(M20="","",L21*M21)</f>
      </c>
      <c r="O21" s="71">
        <f t="shared" si="0"/>
      </c>
      <c r="P21" s="18"/>
      <c r="Q21" s="18"/>
      <c r="V21" s="7" t="s">
        <v>89</v>
      </c>
      <c r="W21" s="66">
        <f>AE8</f>
        <v>0</v>
      </c>
      <c r="X21" s="73"/>
      <c r="Y21" s="7"/>
      <c r="Z21" s="12"/>
      <c r="AA21" s="12"/>
      <c r="AF21" s="7"/>
      <c r="AK21" s="1" t="s">
        <v>169</v>
      </c>
    </row>
    <row r="22" spans="1:37" ht="15" customHeight="1">
      <c r="A22" s="18"/>
      <c r="B22" s="111">
        <f>B21</f>
        <v>1</v>
      </c>
      <c r="C22" s="111"/>
      <c r="D22" s="111"/>
      <c r="E22" s="111"/>
      <c r="F22" s="111"/>
      <c r="G22" s="111"/>
      <c r="H22" s="237" t="s">
        <v>34</v>
      </c>
      <c r="I22" s="120" t="str">
        <f>IF(H23=" "," ",H23+0.1)</f>
        <v> </v>
      </c>
      <c r="J22" s="158"/>
      <c r="K22" s="41"/>
      <c r="L22" s="168"/>
      <c r="M22" s="47">
        <f>IF(K23="","",K23/2)</f>
      </c>
      <c r="N22" s="70">
        <f>IF(M22="","",L22*M22)</f>
      </c>
      <c r="O22" s="71">
        <f t="shared" si="0"/>
      </c>
      <c r="P22" s="18"/>
      <c r="Q22" s="18"/>
      <c r="V22" s="7" t="s">
        <v>90</v>
      </c>
      <c r="W22" s="66">
        <f>AE10</f>
      </c>
      <c r="X22" s="73"/>
      <c r="Y22" s="7" t="s">
        <v>7</v>
      </c>
      <c r="Z22" s="12">
        <f>IF($I$7&lt;5,"",AA20)</f>
      </c>
      <c r="AA22" s="12">
        <f>IF(Z22="","",Z22+$F$8)</f>
      </c>
      <c r="AB22" s="12">
        <f>IF(Z22="","",ABS(AA22-Z22))</f>
      </c>
      <c r="AD22" s="12">
        <f>N20</f>
      </c>
      <c r="AE22" s="12">
        <f>IF(Z22="","",AD22+Z22)</f>
      </c>
      <c r="AF22" s="7" t="s">
        <v>7</v>
      </c>
      <c r="AK22" s="1" t="s">
        <v>170</v>
      </c>
    </row>
    <row r="23" spans="1:37" ht="15" customHeight="1">
      <c r="A23" s="18"/>
      <c r="B23" s="18"/>
      <c r="D23" s="18"/>
      <c r="E23" s="18"/>
      <c r="F23" s="18"/>
      <c r="G23" s="18"/>
      <c r="H23" s="206" t="str">
        <f>IF($I$7&gt;B34,H21+1," ")</f>
        <v> </v>
      </c>
      <c r="I23" s="4" t="str">
        <f>IF(H23=" "," ",H23+0.2)</f>
        <v> </v>
      </c>
      <c r="J23" s="157"/>
      <c r="K23" s="50">
        <f>IF($I$7&gt;5,$I$8,"")</f>
      </c>
      <c r="L23" s="168"/>
      <c r="M23" s="47">
        <f>IF(K23="","",K23/2)</f>
      </c>
      <c r="N23" s="74">
        <f>IF(M22="","",L23*M23)</f>
      </c>
      <c r="O23" s="75">
        <f t="shared" si="0"/>
      </c>
      <c r="P23" s="18"/>
      <c r="Q23" s="18"/>
      <c r="V23" s="7" t="s">
        <v>6</v>
      </c>
      <c r="W23" s="66">
        <f>AE12</f>
      </c>
      <c r="X23" s="73"/>
      <c r="Y23" s="7" t="s">
        <v>124</v>
      </c>
      <c r="Z23" s="12"/>
      <c r="AA23" s="12"/>
      <c r="AF23" s="7" t="s">
        <v>124</v>
      </c>
      <c r="AK23" s="1" t="s">
        <v>171</v>
      </c>
    </row>
    <row r="24" spans="1:37" ht="12" customHeight="1">
      <c r="A24" s="18"/>
      <c r="B24" s="111">
        <f>IF($G$7&gt;B22,B22+1," ")</f>
        <v>2</v>
      </c>
      <c r="D24" s="18"/>
      <c r="E24" s="18"/>
      <c r="F24" s="18"/>
      <c r="G24" s="18"/>
      <c r="H24" s="52"/>
      <c r="I24" s="53"/>
      <c r="J24" s="54"/>
      <c r="K24" s="56"/>
      <c r="L24" s="55"/>
      <c r="M24" s="56"/>
      <c r="N24" s="76"/>
      <c r="O24" s="77"/>
      <c r="P24" s="18"/>
      <c r="Q24" s="18"/>
      <c r="V24" s="7" t="s">
        <v>91</v>
      </c>
      <c r="W24" s="66">
        <f>AE14</f>
      </c>
      <c r="X24" s="73"/>
      <c r="Y24" s="7" t="s">
        <v>95</v>
      </c>
      <c r="Z24" s="12">
        <f>IF($I$7&lt;5,"",AA22)</f>
      </c>
      <c r="AA24" s="12">
        <f>IF(Z24="","",Z24+$F$8)</f>
      </c>
      <c r="AB24" s="12">
        <f>IF(Z24="","",ABS(AA24-Z24))</f>
      </c>
      <c r="AD24" s="12">
        <f>N21</f>
      </c>
      <c r="AE24" s="12">
        <f>IF(Z24="","",AD24+Z24)</f>
      </c>
      <c r="AF24" s="7" t="s">
        <v>95</v>
      </c>
      <c r="AK24" s="1" t="s">
        <v>172</v>
      </c>
    </row>
    <row r="25" spans="1:37" ht="30" customHeight="1" thickBot="1">
      <c r="A25" s="18"/>
      <c r="B25" s="111">
        <f>B24</f>
        <v>2</v>
      </c>
      <c r="C25" s="439" t="s">
        <v>152</v>
      </c>
      <c r="D25" s="439"/>
      <c r="E25" s="439"/>
      <c r="F25" s="592"/>
      <c r="G25" s="592"/>
      <c r="H25" s="592"/>
      <c r="I25" s="592"/>
      <c r="J25" s="439" t="s">
        <v>197</v>
      </c>
      <c r="K25" s="439"/>
      <c r="L25" s="597"/>
      <c r="M25" s="597"/>
      <c r="N25" s="597"/>
      <c r="O25" s="597"/>
      <c r="P25" s="18"/>
      <c r="Q25" s="18"/>
      <c r="V25" s="7" t="s">
        <v>92</v>
      </c>
      <c r="W25" s="66">
        <f>AE16</f>
      </c>
      <c r="X25" s="73"/>
      <c r="Y25" s="7"/>
      <c r="Z25" s="12"/>
      <c r="AA25" s="12"/>
      <c r="AF25" s="7"/>
      <c r="AK25" s="1" t="s">
        <v>173</v>
      </c>
    </row>
    <row r="26" spans="1:37" ht="20.25">
      <c r="A26" s="18"/>
      <c r="B26" s="18"/>
      <c r="C26" s="177" t="s">
        <v>37</v>
      </c>
      <c r="D26" s="177" t="s">
        <v>125</v>
      </c>
      <c r="E26" s="179"/>
      <c r="F26" s="177"/>
      <c r="G26" s="593" t="s">
        <v>32</v>
      </c>
      <c r="H26" s="593"/>
      <c r="I26" s="179"/>
      <c r="J26" s="179"/>
      <c r="K26" s="591" t="s">
        <v>126</v>
      </c>
      <c r="L26" s="591"/>
      <c r="M26" s="591"/>
      <c r="N26" s="18"/>
      <c r="O26" s="177" t="s">
        <v>127</v>
      </c>
      <c r="P26" s="18"/>
      <c r="Q26" s="18"/>
      <c r="V26" s="7" t="s">
        <v>93</v>
      </c>
      <c r="W26" s="66">
        <f>AE18</f>
      </c>
      <c r="X26" s="73"/>
      <c r="Y26" s="7" t="s">
        <v>96</v>
      </c>
      <c r="Z26" s="12">
        <f>IF($I$7&lt;6,"",AA24)</f>
      </c>
      <c r="AA26" s="12">
        <f>IF(Z26="","",Z26+$F$8)</f>
      </c>
      <c r="AB26" s="12">
        <f>IF(Z26="","",ABS(AA26-Z26))</f>
      </c>
      <c r="AD26" s="12">
        <f>N22</f>
      </c>
      <c r="AE26" s="12">
        <f>IF(Z26="","",AD26+Z26)</f>
      </c>
      <c r="AF26" s="7" t="s">
        <v>96</v>
      </c>
      <c r="AK26" s="1" t="s">
        <v>174</v>
      </c>
    </row>
    <row r="27" spans="1:37" ht="12.75" hidden="1">
      <c r="A27" s="18"/>
      <c r="B27" s="111">
        <f>IF($G$7&gt;B25,B25+1," ")</f>
        <v>3</v>
      </c>
      <c r="D27" s="53"/>
      <c r="E27" s="18"/>
      <c r="F27" s="18"/>
      <c r="G27" s="18"/>
      <c r="H27" s="18"/>
      <c r="I27" s="18"/>
      <c r="J27" s="18"/>
      <c r="K27" s="18"/>
      <c r="L27" s="18"/>
      <c r="M27" s="18"/>
      <c r="N27" s="18"/>
      <c r="O27" s="18"/>
      <c r="P27" s="18"/>
      <c r="Q27" s="18"/>
      <c r="V27" s="7" t="s">
        <v>94</v>
      </c>
      <c r="W27" s="66">
        <f>AE20</f>
      </c>
      <c r="X27" s="73"/>
      <c r="Y27" s="7"/>
      <c r="Z27" s="12"/>
      <c r="AA27" s="12"/>
      <c r="AF27" s="7"/>
      <c r="AK27" s="1" t="s">
        <v>175</v>
      </c>
    </row>
    <row r="28" spans="1:37" ht="45" customHeight="1">
      <c r="A28" s="18"/>
      <c r="B28" s="111">
        <f>B27</f>
        <v>3</v>
      </c>
      <c r="C28" s="207"/>
      <c r="D28" s="208"/>
      <c r="E28" s="18"/>
      <c r="F28" s="595"/>
      <c r="G28" s="595"/>
      <c r="H28" s="595"/>
      <c r="I28" s="595"/>
      <c r="J28" s="181"/>
      <c r="K28" s="577"/>
      <c r="L28" s="577"/>
      <c r="M28" s="577"/>
      <c r="N28" s="81"/>
      <c r="O28" s="169"/>
      <c r="P28" s="18"/>
      <c r="Q28" s="18"/>
      <c r="V28" s="7" t="s">
        <v>7</v>
      </c>
      <c r="W28" s="66">
        <f>AE22</f>
      </c>
      <c r="X28" s="73"/>
      <c r="Y28" s="7" t="s">
        <v>97</v>
      </c>
      <c r="Z28" s="12">
        <f>IF($I$7&lt;6,"",AA26)</f>
      </c>
      <c r="AA28" s="12">
        <f>IF(Z28="","",Z28+$F$8)</f>
      </c>
      <c r="AB28" s="12">
        <f>IF(Z28="","",ABS(AA28-Z28))</f>
      </c>
      <c r="AD28" s="12">
        <f>N23</f>
      </c>
      <c r="AE28" s="12">
        <f>IF(Z28="","",AD28+Z28)</f>
      </c>
      <c r="AF28" s="7" t="s">
        <v>97</v>
      </c>
      <c r="AK28" s="1" t="s">
        <v>176</v>
      </c>
    </row>
    <row r="29" spans="1:37" ht="45" customHeight="1">
      <c r="A29" s="18"/>
      <c r="B29" s="18"/>
      <c r="C29" s="209"/>
      <c r="D29" s="210"/>
      <c r="E29" s="18"/>
      <c r="F29" s="596"/>
      <c r="G29" s="596"/>
      <c r="H29" s="596"/>
      <c r="I29" s="596"/>
      <c r="J29" s="181"/>
      <c r="K29" s="572"/>
      <c r="L29" s="572"/>
      <c r="M29" s="572"/>
      <c r="N29" s="81"/>
      <c r="O29" s="170"/>
      <c r="P29" s="18"/>
      <c r="Q29" s="18"/>
      <c r="V29" s="7" t="s">
        <v>95</v>
      </c>
      <c r="W29" s="66">
        <f>AE24</f>
      </c>
      <c r="X29" s="73"/>
      <c r="Z29" s="12"/>
      <c r="AA29" s="12"/>
      <c r="AF29" s="12"/>
      <c r="AK29" s="1" t="s">
        <v>177</v>
      </c>
    </row>
    <row r="30" spans="1:37" ht="45" customHeight="1">
      <c r="A30" s="18"/>
      <c r="B30" s="111">
        <f>IF($G$7&gt;B28,B28+1," ")</f>
        <v>4</v>
      </c>
      <c r="C30" s="185"/>
      <c r="D30" s="180"/>
      <c r="E30" s="18"/>
      <c r="F30" s="596"/>
      <c r="G30" s="596"/>
      <c r="H30" s="596"/>
      <c r="I30" s="596"/>
      <c r="J30" s="181"/>
      <c r="K30" s="572"/>
      <c r="L30" s="572"/>
      <c r="M30" s="572"/>
      <c r="N30" s="81"/>
      <c r="O30" s="170"/>
      <c r="P30" s="18"/>
      <c r="Q30" s="18"/>
      <c r="V30" s="7" t="s">
        <v>96</v>
      </c>
      <c r="W30" s="66">
        <f>AE26</f>
      </c>
      <c r="X30" s="73"/>
      <c r="AA30" s="12"/>
      <c r="AB30" s="12"/>
      <c r="AD30" s="12"/>
      <c r="AK30" s="1" t="s">
        <v>178</v>
      </c>
    </row>
    <row r="31" spans="1:37" ht="45" customHeight="1">
      <c r="A31" s="18"/>
      <c r="B31" s="111">
        <f>B30</f>
        <v>4</v>
      </c>
      <c r="C31" s="209"/>
      <c r="D31" s="210"/>
      <c r="E31" s="18"/>
      <c r="F31" s="596"/>
      <c r="G31" s="596"/>
      <c r="H31" s="596"/>
      <c r="I31" s="596"/>
      <c r="J31" s="181"/>
      <c r="K31" s="572"/>
      <c r="L31" s="572"/>
      <c r="M31" s="572"/>
      <c r="N31" s="81"/>
      <c r="O31" s="170"/>
      <c r="P31" s="18"/>
      <c r="Q31" s="18"/>
      <c r="V31" s="7" t="s">
        <v>97</v>
      </c>
      <c r="W31" s="66">
        <f>AE28</f>
      </c>
      <c r="X31" s="73"/>
      <c r="AA31" s="12"/>
      <c r="AB31" s="12"/>
      <c r="AK31" s="1" t="s">
        <v>179</v>
      </c>
    </row>
    <row r="32" spans="1:37" ht="45" customHeight="1">
      <c r="A32" s="18"/>
      <c r="B32" s="18"/>
      <c r="C32" s="185"/>
      <c r="D32" s="180"/>
      <c r="E32" s="18"/>
      <c r="F32" s="596"/>
      <c r="G32" s="596"/>
      <c r="H32" s="596"/>
      <c r="I32" s="596"/>
      <c r="J32" s="181"/>
      <c r="K32" s="572"/>
      <c r="L32" s="572"/>
      <c r="M32" s="572"/>
      <c r="N32" s="81"/>
      <c r="O32" s="170"/>
      <c r="P32" s="18"/>
      <c r="Q32" s="18"/>
      <c r="T32" s="7"/>
      <c r="U32" s="7">
        <f>IF(I7&lt;7,"",VLOOKUP(10000000,$AD$33:$AE$38,2))</f>
      </c>
      <c r="V32" s="65">
        <f>IF(U32="","",VLOOKUP(U32,$AC$18:$AF$18,4))</f>
      </c>
      <c r="Y32" s="12"/>
      <c r="Z32" s="12"/>
      <c r="AD32" s="12"/>
      <c r="AE32" s="12"/>
      <c r="AK32" s="1" t="s">
        <v>180</v>
      </c>
    </row>
    <row r="33" spans="1:37" ht="45" customHeight="1">
      <c r="A33" s="18"/>
      <c r="B33" s="111">
        <f>IF($G$7&gt;B31,B31+1," ")</f>
        <v>5</v>
      </c>
      <c r="C33" s="209"/>
      <c r="D33" s="210"/>
      <c r="E33" s="18"/>
      <c r="F33" s="596"/>
      <c r="G33" s="596"/>
      <c r="H33" s="596"/>
      <c r="I33" s="596"/>
      <c r="J33" s="181"/>
      <c r="K33" s="572"/>
      <c r="L33" s="572"/>
      <c r="M33" s="572"/>
      <c r="N33" s="81"/>
      <c r="O33" s="170"/>
      <c r="P33" s="18"/>
      <c r="Q33" s="18"/>
      <c r="T33" s="7"/>
      <c r="U33" s="7">
        <f>IF(I7&lt;7,"",VLOOKUP(10000000,$AH$48:$AI$53,2))</f>
      </c>
      <c r="V33" s="73">
        <f>IF(U33="","",VLOOKUP(U33,$AE$48:$AH$53,4))</f>
      </c>
      <c r="Y33" s="12"/>
      <c r="Z33" s="12"/>
      <c r="AE33" s="12"/>
      <c r="AF33" s="7"/>
      <c r="AK33" s="1" t="s">
        <v>181</v>
      </c>
    </row>
    <row r="34" spans="1:37" ht="45" customHeight="1">
      <c r="A34" s="18"/>
      <c r="B34" s="111">
        <f>B33</f>
        <v>5</v>
      </c>
      <c r="C34" s="185"/>
      <c r="D34" s="180"/>
      <c r="E34" s="18"/>
      <c r="F34" s="596"/>
      <c r="G34" s="596"/>
      <c r="H34" s="596"/>
      <c r="I34" s="596"/>
      <c r="J34" s="181"/>
      <c r="K34" s="572"/>
      <c r="L34" s="572"/>
      <c r="M34" s="572"/>
      <c r="N34" s="81"/>
      <c r="O34" s="170"/>
      <c r="P34" s="18"/>
      <c r="Q34" s="18"/>
      <c r="T34" s="7"/>
      <c r="U34" s="65"/>
      <c r="X34" s="12"/>
      <c r="Y34" s="12"/>
      <c r="AD34" s="12"/>
      <c r="AE34" s="7"/>
      <c r="AK34" s="1" t="s">
        <v>182</v>
      </c>
    </row>
    <row r="35" spans="1:37" ht="45" customHeight="1">
      <c r="A35" s="18"/>
      <c r="B35" s="187"/>
      <c r="C35" s="209"/>
      <c r="D35" s="210"/>
      <c r="E35" s="18"/>
      <c r="F35" s="596"/>
      <c r="G35" s="596"/>
      <c r="H35" s="596"/>
      <c r="I35" s="596"/>
      <c r="J35" s="181"/>
      <c r="K35" s="572"/>
      <c r="L35" s="572"/>
      <c r="M35" s="572"/>
      <c r="N35" s="81"/>
      <c r="O35" s="170"/>
      <c r="P35" s="18"/>
      <c r="Q35" s="18"/>
      <c r="U35" s="65"/>
      <c r="X35" s="12"/>
      <c r="Y35" s="12"/>
      <c r="AD35" s="12"/>
      <c r="AE35" s="7"/>
      <c r="AF35" s="12"/>
      <c r="AK35" s="1" t="s">
        <v>183</v>
      </c>
    </row>
    <row r="36" spans="1:37" ht="45" customHeight="1">
      <c r="A36" s="18"/>
      <c r="B36" s="111">
        <f>IF($G$7&gt;B34,B34+1,"")</f>
        <v>6</v>
      </c>
      <c r="C36" s="185"/>
      <c r="D36" s="180"/>
      <c r="E36" s="18"/>
      <c r="F36" s="596"/>
      <c r="G36" s="596"/>
      <c r="H36" s="596"/>
      <c r="I36" s="596"/>
      <c r="J36" s="181"/>
      <c r="K36" s="572"/>
      <c r="L36" s="572"/>
      <c r="M36" s="572"/>
      <c r="N36" s="81"/>
      <c r="O36" s="170"/>
      <c r="P36" s="18"/>
      <c r="Q36" s="18"/>
      <c r="U36" s="65"/>
      <c r="X36" s="12"/>
      <c r="Y36" s="12"/>
      <c r="AD36" s="12"/>
      <c r="AE36" s="7"/>
      <c r="AF36" s="12"/>
      <c r="AK36" s="1" t="s">
        <v>184</v>
      </c>
    </row>
    <row r="37" spans="1:37" ht="45" customHeight="1">
      <c r="A37" s="18"/>
      <c r="B37" s="111">
        <f>B36</f>
        <v>6</v>
      </c>
      <c r="C37" s="209"/>
      <c r="D37" s="210"/>
      <c r="E37" s="18"/>
      <c r="F37" s="596"/>
      <c r="G37" s="596"/>
      <c r="H37" s="596"/>
      <c r="I37" s="596"/>
      <c r="J37" s="181"/>
      <c r="K37" s="572"/>
      <c r="L37" s="572"/>
      <c r="M37" s="572"/>
      <c r="N37" s="81"/>
      <c r="O37" s="170"/>
      <c r="P37" s="18"/>
      <c r="Q37" s="18"/>
      <c r="U37" s="65"/>
      <c r="X37" s="12"/>
      <c r="Y37" s="12"/>
      <c r="AD37" s="12"/>
      <c r="AE37" s="7"/>
      <c r="AF37" s="12"/>
      <c r="AK37" s="1" t="s">
        <v>185</v>
      </c>
    </row>
    <row r="38" spans="1:37" ht="45" customHeight="1">
      <c r="A38" s="18"/>
      <c r="B38" s="18"/>
      <c r="C38" s="185"/>
      <c r="D38" s="180"/>
      <c r="E38" s="18"/>
      <c r="F38" s="596"/>
      <c r="G38" s="596"/>
      <c r="H38" s="596"/>
      <c r="I38" s="596"/>
      <c r="J38" s="181"/>
      <c r="K38" s="577"/>
      <c r="L38" s="577"/>
      <c r="M38" s="577"/>
      <c r="N38" s="81"/>
      <c r="O38" s="170"/>
      <c r="P38" s="18"/>
      <c r="Q38" s="18"/>
      <c r="U38" s="65"/>
      <c r="X38" s="12"/>
      <c r="Y38" s="12"/>
      <c r="AD38" s="12"/>
      <c r="AE38" s="7"/>
      <c r="AF38" s="12"/>
      <c r="AK38" s="1" t="s">
        <v>186</v>
      </c>
    </row>
    <row r="39" spans="1:37" ht="45" customHeight="1">
      <c r="A39" s="18"/>
      <c r="B39" s="111">
        <f>IF($G$7&gt;B37,B37+1," ")</f>
        <v>7</v>
      </c>
      <c r="C39" s="209"/>
      <c r="D39" s="210"/>
      <c r="E39" s="18"/>
      <c r="F39" s="596"/>
      <c r="G39" s="596"/>
      <c r="H39" s="596"/>
      <c r="I39" s="596"/>
      <c r="J39" s="181"/>
      <c r="K39" s="572"/>
      <c r="L39" s="572"/>
      <c r="M39" s="572"/>
      <c r="N39" s="81"/>
      <c r="O39" s="170"/>
      <c r="P39" s="18"/>
      <c r="Q39" s="18"/>
      <c r="U39" s="65"/>
      <c r="X39" s="12"/>
      <c r="Y39" s="12"/>
      <c r="AD39" s="12"/>
      <c r="AF39" s="12"/>
      <c r="AK39" s="1" t="s">
        <v>187</v>
      </c>
    </row>
    <row r="40" spans="1:37" ht="15" customHeight="1">
      <c r="A40" s="18"/>
      <c r="B40" s="111">
        <f>B39</f>
        <v>7</v>
      </c>
      <c r="C40" s="186"/>
      <c r="D40" s="18"/>
      <c r="E40" s="18"/>
      <c r="F40" s="18"/>
      <c r="G40" s="18"/>
      <c r="H40" s="18"/>
      <c r="I40" s="18"/>
      <c r="J40" s="18"/>
      <c r="K40" s="18"/>
      <c r="L40" s="18"/>
      <c r="M40" s="18"/>
      <c r="N40" s="18"/>
      <c r="O40" s="18"/>
      <c r="P40" s="18"/>
      <c r="Q40" s="18"/>
      <c r="U40" s="65"/>
      <c r="X40" s="12"/>
      <c r="Y40" s="12"/>
      <c r="AD40" s="12"/>
      <c r="AK40" s="1" t="s">
        <v>188</v>
      </c>
    </row>
    <row r="41" spans="1:37" ht="15" customHeight="1">
      <c r="A41" s="18"/>
      <c r="B41" s="18"/>
      <c r="C41" s="186"/>
      <c r="D41" s="18"/>
      <c r="E41" s="18"/>
      <c r="F41" s="18"/>
      <c r="G41" s="18"/>
      <c r="H41" s="18"/>
      <c r="I41" s="18"/>
      <c r="J41" s="18"/>
      <c r="K41" s="18"/>
      <c r="L41" s="18"/>
      <c r="M41" s="18"/>
      <c r="N41" s="18"/>
      <c r="O41" s="18"/>
      <c r="P41" s="18"/>
      <c r="Q41" s="18"/>
      <c r="U41" s="65"/>
      <c r="X41" s="12"/>
      <c r="Y41" s="12"/>
      <c r="AD41" s="12"/>
      <c r="AE41" s="65"/>
      <c r="AK41" s="1" t="s">
        <v>189</v>
      </c>
    </row>
    <row r="42" spans="1:37" ht="15" customHeight="1">
      <c r="A42" s="18"/>
      <c r="B42" s="18"/>
      <c r="C42" s="186"/>
      <c r="D42" s="18"/>
      <c r="E42" s="18"/>
      <c r="F42" s="18"/>
      <c r="G42" s="18"/>
      <c r="H42" s="18"/>
      <c r="I42" s="18"/>
      <c r="J42" s="598" t="s">
        <v>234</v>
      </c>
      <c r="K42" s="598"/>
      <c r="L42" s="476"/>
      <c r="M42" s="476"/>
      <c r="N42" s="476"/>
      <c r="O42" s="476"/>
      <c r="P42" s="18"/>
      <c r="Q42" s="18"/>
      <c r="U42" s="65"/>
      <c r="X42" s="12"/>
      <c r="Y42" s="12"/>
      <c r="AD42" s="12"/>
      <c r="AE42" s="65"/>
      <c r="AF42" s="12"/>
      <c r="AK42" s="1" t="s">
        <v>216</v>
      </c>
    </row>
    <row r="43" spans="1:37" ht="15" customHeight="1">
      <c r="A43" s="18"/>
      <c r="B43" s="18"/>
      <c r="C43" s="186"/>
      <c r="D43" s="18"/>
      <c r="E43" s="18"/>
      <c r="F43" s="18"/>
      <c r="G43" s="18"/>
      <c r="H43" s="18"/>
      <c r="I43" s="18"/>
      <c r="J43" s="598"/>
      <c r="K43" s="598"/>
      <c r="L43" s="574"/>
      <c r="M43" s="574"/>
      <c r="N43" s="574"/>
      <c r="O43" s="574"/>
      <c r="P43" s="18"/>
      <c r="Q43" s="18"/>
      <c r="U43" s="65"/>
      <c r="X43" s="12"/>
      <c r="Y43" s="12"/>
      <c r="AD43" s="12"/>
      <c r="AE43" s="65"/>
      <c r="AF43" s="12"/>
      <c r="AK43" s="1" t="s">
        <v>217</v>
      </c>
    </row>
    <row r="44" spans="1:37" ht="40.5" customHeight="1">
      <c r="A44" s="18"/>
      <c r="B44" s="18"/>
      <c r="C44" s="186"/>
      <c r="D44" s="18"/>
      <c r="E44" s="18"/>
      <c r="F44" s="18"/>
      <c r="G44" s="18"/>
      <c r="H44" s="18"/>
      <c r="I44" s="18"/>
      <c r="J44" s="18"/>
      <c r="K44" s="18"/>
      <c r="L44" s="18"/>
      <c r="M44" s="18"/>
      <c r="N44" s="18"/>
      <c r="O44" s="18"/>
      <c r="P44" s="18"/>
      <c r="Q44" s="18"/>
      <c r="U44" s="65"/>
      <c r="X44" s="12"/>
      <c r="Y44" s="12"/>
      <c r="AD44" s="12"/>
      <c r="AE44" s="65"/>
      <c r="AF44" s="12"/>
      <c r="AK44" s="1" t="s">
        <v>218</v>
      </c>
    </row>
    <row r="45" spans="1:37" ht="40.5" customHeight="1">
      <c r="A45" s="18"/>
      <c r="B45" s="18"/>
      <c r="D45" s="18"/>
      <c r="E45" s="18"/>
      <c r="F45" s="18"/>
      <c r="G45" s="18"/>
      <c r="H45" s="18"/>
      <c r="I45" s="18"/>
      <c r="J45" s="18"/>
      <c r="K45" s="18"/>
      <c r="L45" s="18"/>
      <c r="M45" s="18"/>
      <c r="N45" s="18"/>
      <c r="O45" s="18"/>
      <c r="P45" s="18"/>
      <c r="AK45" s="1" t="s">
        <v>219</v>
      </c>
    </row>
    <row r="46" spans="1:37" ht="40.5" customHeight="1">
      <c r="A46" s="18"/>
      <c r="B46" s="18"/>
      <c r="D46" s="18"/>
      <c r="E46" s="18"/>
      <c r="F46" s="18"/>
      <c r="G46" s="18"/>
      <c r="H46" s="18"/>
      <c r="I46" s="18"/>
      <c r="J46" s="18"/>
      <c r="K46" s="18"/>
      <c r="L46" s="18"/>
      <c r="M46" s="18"/>
      <c r="N46" s="18"/>
      <c r="O46" s="18"/>
      <c r="P46" s="18"/>
      <c r="AK46" s="1" t="s">
        <v>220</v>
      </c>
    </row>
    <row r="47" ht="12.75">
      <c r="AK47" s="1" t="s">
        <v>221</v>
      </c>
    </row>
    <row r="48" ht="12.75">
      <c r="AK48" s="1" t="s">
        <v>222</v>
      </c>
    </row>
    <row r="49" ht="12.75">
      <c r="AK49" s="174" t="s">
        <v>190</v>
      </c>
    </row>
    <row r="50" ht="12.75">
      <c r="AK50" s="1" t="s">
        <v>191</v>
      </c>
    </row>
    <row r="51" ht="12.75">
      <c r="AK51" s="1" t="s">
        <v>192</v>
      </c>
    </row>
    <row r="52" ht="12.75">
      <c r="AK52" s="1" t="s">
        <v>193</v>
      </c>
    </row>
    <row r="53" ht="12.75">
      <c r="AK53" s="1" t="s">
        <v>194</v>
      </c>
    </row>
    <row r="54" ht="12.75">
      <c r="AK54" s="1" t="s">
        <v>195</v>
      </c>
    </row>
    <row r="55" ht="12.75">
      <c r="AK55" s="1" t="s">
        <v>196</v>
      </c>
    </row>
    <row r="56" ht="12.75">
      <c r="AK56" s="1" t="s">
        <v>208</v>
      </c>
    </row>
    <row r="57" ht="12.75">
      <c r="AK57" s="1" t="s">
        <v>209</v>
      </c>
    </row>
    <row r="58" ht="12.75">
      <c r="AK58" s="1" t="s">
        <v>210</v>
      </c>
    </row>
    <row r="59" ht="12.75">
      <c r="AK59" s="1" t="s">
        <v>211</v>
      </c>
    </row>
    <row r="60" ht="12.75">
      <c r="AK60" s="1" t="s">
        <v>212</v>
      </c>
    </row>
    <row r="61" ht="12.75">
      <c r="AK61" s="1" t="s">
        <v>213</v>
      </c>
    </row>
    <row r="62" ht="12.75">
      <c r="AK62" s="1" t="s">
        <v>214</v>
      </c>
    </row>
    <row r="63" ht="12.75">
      <c r="AK63" s="174" t="s">
        <v>224</v>
      </c>
    </row>
    <row r="64" ht="12.75">
      <c r="AK64" s="1" t="s">
        <v>223</v>
      </c>
    </row>
    <row r="65" ht="12.75">
      <c r="AK65" s="1" t="s">
        <v>225</v>
      </c>
    </row>
    <row r="66" ht="12.75">
      <c r="AK66" s="1" t="s">
        <v>226</v>
      </c>
    </row>
    <row r="67" ht="12.75">
      <c r="AK67" s="1" t="s">
        <v>227</v>
      </c>
    </row>
    <row r="68" ht="12.75">
      <c r="AK68" s="1" t="s">
        <v>228</v>
      </c>
    </row>
    <row r="69" ht="12.75">
      <c r="AK69" s="1" t="s">
        <v>229</v>
      </c>
    </row>
    <row r="70" ht="12.75">
      <c r="AK70" s="1" t="s">
        <v>201</v>
      </c>
    </row>
    <row r="71" ht="12.75">
      <c r="AK71" s="1" t="s">
        <v>202</v>
      </c>
    </row>
    <row r="72" ht="12.75">
      <c r="AK72" s="1" t="s">
        <v>203</v>
      </c>
    </row>
    <row r="73" ht="12.75">
      <c r="AK73" s="1" t="s">
        <v>204</v>
      </c>
    </row>
    <row r="74" ht="12.75">
      <c r="AK74" s="1" t="s">
        <v>205</v>
      </c>
    </row>
    <row r="75" ht="12.75">
      <c r="AK75" s="1" t="s">
        <v>206</v>
      </c>
    </row>
    <row r="76" ht="12.75">
      <c r="AK76" s="1" t="s">
        <v>207</v>
      </c>
    </row>
  </sheetData>
  <sheetProtection password="D86C" sheet="1" objects="1" scenarios="1"/>
  <mergeCells count="45">
    <mergeCell ref="L25:O25"/>
    <mergeCell ref="L42:O43"/>
    <mergeCell ref="J42:K43"/>
    <mergeCell ref="K36:M36"/>
    <mergeCell ref="K37:M37"/>
    <mergeCell ref="K38:M38"/>
    <mergeCell ref="K39:M39"/>
    <mergeCell ref="K35:M35"/>
    <mergeCell ref="K28:M28"/>
    <mergeCell ref="K29:M29"/>
    <mergeCell ref="K30:M30"/>
    <mergeCell ref="K31:M31"/>
    <mergeCell ref="K32:M32"/>
    <mergeCell ref="K33:M33"/>
    <mergeCell ref="K34:M34"/>
    <mergeCell ref="F36:I36"/>
    <mergeCell ref="F37:I37"/>
    <mergeCell ref="F38:I38"/>
    <mergeCell ref="F39:I39"/>
    <mergeCell ref="F32:I32"/>
    <mergeCell ref="F33:I33"/>
    <mergeCell ref="F34:I34"/>
    <mergeCell ref="F35:I35"/>
    <mergeCell ref="F28:I28"/>
    <mergeCell ref="F29:I29"/>
    <mergeCell ref="F30:I30"/>
    <mergeCell ref="F31:I31"/>
    <mergeCell ref="E5:F5"/>
    <mergeCell ref="I5:J5"/>
    <mergeCell ref="L5:M5"/>
    <mergeCell ref="E6:F6"/>
    <mergeCell ref="G6:H6"/>
    <mergeCell ref="I6:J6"/>
    <mergeCell ref="L6:M6"/>
    <mergeCell ref="G5:H5"/>
    <mergeCell ref="K26:M26"/>
    <mergeCell ref="D7:E7"/>
    <mergeCell ref="G7:H7"/>
    <mergeCell ref="D8:E8"/>
    <mergeCell ref="G8:H8"/>
    <mergeCell ref="F25:I25"/>
    <mergeCell ref="C25:E25"/>
    <mergeCell ref="J25:K25"/>
    <mergeCell ref="G26:H26"/>
    <mergeCell ref="C11:E11"/>
  </mergeCells>
  <dataValidations count="2">
    <dataValidation type="list" allowBlank="1" showInputMessage="1" showErrorMessage="1" sqref="K8">
      <formula1>$AI$5:$AI$14</formula1>
    </dataValidation>
    <dataValidation type="list" allowBlank="1" showInputMessage="1" showErrorMessage="1" sqref="M7">
      <formula1>$AK$5:$AK$76</formula1>
    </dataValidation>
  </dataValidations>
  <printOptions/>
  <pageMargins left="0.3" right="0.25" top="0.25" bottom="0.38" header="0.5" footer="0.5"/>
  <pageSetup blackAndWhite="1" horizontalDpi="300" verticalDpi="300" orientation="portrait" scale="65" r:id="rId2"/>
  <legacyDrawing r:id="rId1"/>
</worksheet>
</file>

<file path=xl/worksheets/sheet11.xml><?xml version="1.0" encoding="utf-8"?>
<worksheet xmlns="http://schemas.openxmlformats.org/spreadsheetml/2006/main" xmlns:r="http://schemas.openxmlformats.org/officeDocument/2006/relationships">
  <sheetPr codeName="Sheet41">
    <pageSetUpPr fitToPage="1"/>
  </sheetPr>
  <dimension ref="A1:O41"/>
  <sheetViews>
    <sheetView zoomScale="75" zoomScaleNormal="75" workbookViewId="0" topLeftCell="A1">
      <selection activeCell="C5" sqref="C5:D5"/>
    </sheetView>
  </sheetViews>
  <sheetFormatPr defaultColWidth="9.140625" defaultRowHeight="12.75"/>
  <cols>
    <col min="1" max="1" width="7.421875" style="0" customWidth="1"/>
    <col min="4" max="4" width="10.7109375" style="0" bestFit="1" customWidth="1"/>
    <col min="5" max="5" width="10.421875" style="0" bestFit="1" customWidth="1"/>
    <col min="6" max="6" width="10.28125" style="0" customWidth="1"/>
    <col min="7" max="7" width="12.28125" style="0" bestFit="1" customWidth="1"/>
    <col min="11" max="11" width="12.8515625" style="0" bestFit="1" customWidth="1"/>
    <col min="13" max="13" width="10.00390625" style="0" customWidth="1"/>
    <col min="15" max="15" width="14.57421875" style="0" customWidth="1"/>
  </cols>
  <sheetData>
    <row r="1" spans="1:15" ht="12.75">
      <c r="A1" s="178"/>
      <c r="B1" s="18"/>
      <c r="C1" s="18" t="s">
        <v>130</v>
      </c>
      <c r="D1" s="83"/>
      <c r="E1" s="18"/>
      <c r="F1" s="18"/>
      <c r="G1" s="18"/>
      <c r="H1" s="18"/>
      <c r="I1" s="18"/>
      <c r="J1" s="18"/>
      <c r="K1" s="18"/>
      <c r="L1" s="18"/>
      <c r="M1" s="18"/>
      <c r="N1" s="18"/>
      <c r="O1" s="18"/>
    </row>
    <row r="2" spans="1:15" ht="12.75">
      <c r="A2" s="18"/>
      <c r="B2" s="18"/>
      <c r="C2" s="18" t="s">
        <v>131</v>
      </c>
      <c r="D2" s="96"/>
      <c r="E2" s="18"/>
      <c r="F2" s="18"/>
      <c r="G2" s="18"/>
      <c r="H2" s="18"/>
      <c r="I2" s="18"/>
      <c r="J2" s="18"/>
      <c r="K2" s="18"/>
      <c r="L2" s="18"/>
      <c r="M2" s="18"/>
      <c r="N2" s="18"/>
      <c r="O2" s="18"/>
    </row>
    <row r="3" spans="1:15" ht="23.25">
      <c r="A3" s="18"/>
      <c r="B3" s="18"/>
      <c r="C3" s="18"/>
      <c r="D3" s="18"/>
      <c r="E3" s="18"/>
      <c r="F3" s="439" t="s">
        <v>151</v>
      </c>
      <c r="G3" s="439"/>
      <c r="H3" s="439"/>
      <c r="I3" s="439"/>
      <c r="J3" s="439"/>
      <c r="K3" s="97"/>
      <c r="L3" s="97"/>
      <c r="M3" s="97"/>
      <c r="N3" s="18"/>
      <c r="O3" s="18"/>
    </row>
    <row r="4" spans="1:15" ht="12.75">
      <c r="A4" s="98"/>
      <c r="B4" s="98"/>
      <c r="C4" s="98"/>
      <c r="D4" s="98"/>
      <c r="E4" s="98"/>
      <c r="F4" s="98"/>
      <c r="G4" s="98"/>
      <c r="H4" s="98"/>
      <c r="I4" s="98"/>
      <c r="J4" s="98"/>
      <c r="K4" s="98"/>
      <c r="L4" s="98"/>
      <c r="M4" s="98"/>
      <c r="N4" s="98"/>
      <c r="O4" s="98"/>
    </row>
    <row r="5" spans="1:15" ht="19.5" customHeight="1">
      <c r="A5" s="99"/>
      <c r="B5" s="271" t="s">
        <v>0</v>
      </c>
      <c r="C5" s="582"/>
      <c r="D5" s="582"/>
      <c r="E5" s="272" t="s">
        <v>1</v>
      </c>
      <c r="F5" s="83"/>
      <c r="G5" s="100" t="s">
        <v>2</v>
      </c>
      <c r="H5" s="583"/>
      <c r="I5" s="583"/>
      <c r="J5" s="100" t="s">
        <v>40</v>
      </c>
      <c r="K5" s="583"/>
      <c r="L5" s="583"/>
      <c r="M5" s="599" t="s">
        <v>232</v>
      </c>
      <c r="N5" s="599"/>
      <c r="O5" s="211"/>
    </row>
    <row r="6" spans="1:15" ht="19.5" customHeight="1">
      <c r="A6" s="18"/>
      <c r="B6" s="103" t="s">
        <v>132</v>
      </c>
      <c r="C6" s="104"/>
      <c r="D6" s="100" t="s">
        <v>133</v>
      </c>
      <c r="E6" s="104"/>
      <c r="F6" s="100" t="s">
        <v>5</v>
      </c>
      <c r="G6" s="583"/>
      <c r="H6" s="583"/>
      <c r="I6" s="102" t="s">
        <v>134</v>
      </c>
      <c r="J6" s="585"/>
      <c r="K6" s="585"/>
      <c r="L6" s="100" t="s">
        <v>8</v>
      </c>
      <c r="M6" s="105"/>
      <c r="N6" s="100" t="s">
        <v>135</v>
      </c>
      <c r="O6" s="101"/>
    </row>
    <row r="7" spans="1:15" ht="19.5" customHeight="1">
      <c r="A7" s="18"/>
      <c r="B7" s="103" t="s">
        <v>44</v>
      </c>
      <c r="C7" s="601"/>
      <c r="D7" s="601"/>
      <c r="E7" s="106"/>
      <c r="F7" s="100" t="s">
        <v>63</v>
      </c>
      <c r="G7" s="101"/>
      <c r="H7" s="106"/>
      <c r="I7" s="586" t="s">
        <v>236</v>
      </c>
      <c r="J7" s="586"/>
      <c r="K7" s="600"/>
      <c r="L7" s="600"/>
      <c r="M7" s="108"/>
      <c r="N7" s="107"/>
      <c r="O7" s="107"/>
    </row>
    <row r="8" spans="1:15" s="63" customFormat="1" ht="11.25">
      <c r="A8" s="109"/>
      <c r="B8" s="109"/>
      <c r="C8" s="109" t="s">
        <v>88</v>
      </c>
      <c r="D8" s="110" t="s">
        <v>89</v>
      </c>
      <c r="E8" s="110" t="s">
        <v>128</v>
      </c>
      <c r="F8" s="111" t="s">
        <v>6</v>
      </c>
      <c r="G8" s="111" t="s">
        <v>91</v>
      </c>
      <c r="H8" s="111" t="s">
        <v>92</v>
      </c>
      <c r="I8" s="111" t="s">
        <v>93</v>
      </c>
      <c r="J8" s="111" t="s">
        <v>94</v>
      </c>
      <c r="K8" s="109" t="s">
        <v>7</v>
      </c>
      <c r="L8" s="109" t="s">
        <v>95</v>
      </c>
      <c r="M8" s="109" t="s">
        <v>96</v>
      </c>
      <c r="N8" s="109" t="s">
        <v>97</v>
      </c>
      <c r="O8" s="109" t="s">
        <v>99</v>
      </c>
    </row>
    <row r="9" spans="1:15" ht="12.75">
      <c r="A9" s="98"/>
      <c r="B9" s="98"/>
      <c r="C9" s="112"/>
      <c r="D9" s="113"/>
      <c r="E9" s="113"/>
      <c r="F9" s="113"/>
      <c r="G9" s="112"/>
      <c r="H9" s="113"/>
      <c r="I9" s="112"/>
      <c r="J9" s="114"/>
      <c r="K9" s="53" t="s">
        <v>12</v>
      </c>
      <c r="L9" s="98"/>
      <c r="M9" s="115" t="s">
        <v>136</v>
      </c>
      <c r="N9" s="115" t="s">
        <v>137</v>
      </c>
      <c r="O9" s="115" t="s">
        <v>138</v>
      </c>
    </row>
    <row r="10" spans="1:15" ht="12.75">
      <c r="A10" s="115" t="s">
        <v>13</v>
      </c>
      <c r="B10" s="115" t="s">
        <v>14</v>
      </c>
      <c r="C10" s="115" t="s">
        <v>15</v>
      </c>
      <c r="D10" s="115" t="s">
        <v>11</v>
      </c>
      <c r="E10" s="115" t="s">
        <v>139</v>
      </c>
      <c r="F10" s="115" t="s">
        <v>17</v>
      </c>
      <c r="G10" s="115" t="s">
        <v>18</v>
      </c>
      <c r="H10" s="115" t="s">
        <v>19</v>
      </c>
      <c r="I10" s="115" t="s">
        <v>20</v>
      </c>
      <c r="J10" s="115" t="s">
        <v>198</v>
      </c>
      <c r="K10" s="53" t="s">
        <v>21</v>
      </c>
      <c r="L10" s="115" t="s">
        <v>22</v>
      </c>
      <c r="M10" s="115" t="s">
        <v>22</v>
      </c>
      <c r="N10" s="115" t="s">
        <v>140</v>
      </c>
      <c r="O10" s="111" t="s">
        <v>141</v>
      </c>
    </row>
    <row r="11" spans="1:15" ht="12.75">
      <c r="A11" s="18"/>
      <c r="B11" s="18"/>
      <c r="C11" s="18" t="s">
        <v>10</v>
      </c>
      <c r="D11" s="111" t="s">
        <v>16</v>
      </c>
      <c r="E11" s="111"/>
      <c r="F11" s="18"/>
      <c r="G11" s="98"/>
      <c r="H11" s="18"/>
      <c r="I11" s="18"/>
      <c r="J11" s="53" t="s">
        <v>199</v>
      </c>
      <c r="K11" s="191" t="s">
        <v>240</v>
      </c>
      <c r="L11" s="18"/>
      <c r="M11" s="53"/>
      <c r="N11" s="53"/>
      <c r="O11" s="111" t="s">
        <v>22</v>
      </c>
    </row>
    <row r="12" spans="1:15" ht="12.75">
      <c r="A12" s="112"/>
      <c r="B12" s="112"/>
      <c r="C12" s="116"/>
      <c r="D12" s="117"/>
      <c r="E12" s="117"/>
      <c r="F12" s="113"/>
      <c r="G12" s="109" t="s">
        <v>142</v>
      </c>
      <c r="H12" s="118"/>
      <c r="I12" s="109"/>
      <c r="J12" s="119"/>
      <c r="K12" s="111" t="s">
        <v>215</v>
      </c>
      <c r="L12" s="109" t="s">
        <v>143</v>
      </c>
      <c r="M12" s="109" t="s">
        <v>144</v>
      </c>
      <c r="N12" s="119"/>
      <c r="O12" s="109" t="s">
        <v>145</v>
      </c>
    </row>
    <row r="13" spans="1:15" ht="16.5" customHeight="1">
      <c r="A13" s="120"/>
      <c r="B13" s="4"/>
      <c r="C13" s="121"/>
      <c r="D13" s="121"/>
      <c r="E13" s="121"/>
      <c r="F13" s="122"/>
      <c r="G13" s="121"/>
      <c r="H13" s="121"/>
      <c r="I13" s="121"/>
      <c r="J13" s="123"/>
      <c r="K13" s="124"/>
      <c r="L13" s="125"/>
      <c r="M13" s="126"/>
      <c r="N13" s="127"/>
      <c r="O13" s="128"/>
    </row>
    <row r="14" spans="1:15" ht="16.5" customHeight="1" thickBot="1">
      <c r="A14" s="129"/>
      <c r="B14" s="4"/>
      <c r="C14" s="121"/>
      <c r="D14" s="121"/>
      <c r="E14" s="121"/>
      <c r="F14" s="122"/>
      <c r="G14" s="121"/>
      <c r="H14" s="121"/>
      <c r="I14" s="121"/>
      <c r="J14" s="123"/>
      <c r="K14" s="124"/>
      <c r="L14" s="164"/>
      <c r="M14" s="130"/>
      <c r="N14" s="131"/>
      <c r="O14" s="132"/>
    </row>
    <row r="15" spans="1:15" ht="16.5" customHeight="1" thickBot="1">
      <c r="A15" s="133" t="s">
        <v>23</v>
      </c>
      <c r="B15" s="133"/>
      <c r="C15" s="134"/>
      <c r="D15" s="121"/>
      <c r="E15" s="121"/>
      <c r="F15" s="121"/>
      <c r="G15" s="121"/>
      <c r="H15" s="121"/>
      <c r="I15" s="121"/>
      <c r="J15" s="123"/>
      <c r="K15" s="162"/>
      <c r="L15" s="165"/>
      <c r="M15" s="163"/>
      <c r="N15" s="160"/>
      <c r="O15" s="135"/>
    </row>
    <row r="16" spans="1:15" ht="12.75">
      <c r="A16" s="84"/>
      <c r="B16" s="21"/>
      <c r="C16" s="136"/>
      <c r="D16" s="137"/>
      <c r="E16" s="137"/>
      <c r="G16" s="581" t="s">
        <v>200</v>
      </c>
      <c r="H16" s="581"/>
      <c r="I16" s="581"/>
      <c r="J16" s="172"/>
      <c r="K16" s="138"/>
      <c r="L16" s="139"/>
      <c r="M16" s="137"/>
      <c r="N16" s="140"/>
      <c r="O16" s="141"/>
    </row>
    <row r="17" spans="1:15" ht="16.5" customHeight="1">
      <c r="A17" s="142"/>
      <c r="B17" s="4"/>
      <c r="C17" s="128"/>
      <c r="D17" s="121"/>
      <c r="E17" s="121"/>
      <c r="F17" s="122"/>
      <c r="G17" s="121"/>
      <c r="H17" s="121"/>
      <c r="I17" s="121"/>
      <c r="J17" s="123"/>
      <c r="K17" s="124"/>
      <c r="L17" s="125"/>
      <c r="M17" s="126"/>
      <c r="N17" s="143"/>
      <c r="O17" s="128"/>
    </row>
    <row r="18" spans="1:15" ht="16.5" customHeight="1" thickBot="1">
      <c r="A18" s="129"/>
      <c r="B18" s="4"/>
      <c r="C18" s="128"/>
      <c r="D18" s="121"/>
      <c r="E18" s="121"/>
      <c r="F18" s="122"/>
      <c r="G18" s="121"/>
      <c r="H18" s="121"/>
      <c r="I18" s="121"/>
      <c r="J18" s="123"/>
      <c r="K18" s="124"/>
      <c r="L18" s="164"/>
      <c r="M18" s="4"/>
      <c r="N18" s="131"/>
      <c r="O18" s="121"/>
    </row>
    <row r="19" spans="1:15" ht="16.5" customHeight="1" thickBot="1">
      <c r="A19" s="133" t="s">
        <v>23</v>
      </c>
      <c r="B19" s="133"/>
      <c r="C19" s="134"/>
      <c r="D19" s="128"/>
      <c r="E19" s="128"/>
      <c r="F19" s="128"/>
      <c r="G19" s="121"/>
      <c r="H19" s="128"/>
      <c r="I19" s="128"/>
      <c r="J19" s="144"/>
      <c r="K19" s="162"/>
      <c r="L19" s="165"/>
      <c r="M19" s="163"/>
      <c r="N19" s="161"/>
      <c r="O19" s="145"/>
    </row>
    <row r="20" spans="1:15" ht="12.75">
      <c r="A20" s="84"/>
      <c r="B20" s="21"/>
      <c r="C20" s="136"/>
      <c r="D20" s="146"/>
      <c r="E20" s="146"/>
      <c r="F20" s="146"/>
      <c r="G20" s="581" t="s">
        <v>200</v>
      </c>
      <c r="H20" s="581"/>
      <c r="I20" s="581"/>
      <c r="J20" s="172"/>
      <c r="K20" s="138"/>
      <c r="L20" s="139"/>
      <c r="M20" s="137"/>
      <c r="N20" s="147"/>
      <c r="O20" s="148"/>
    </row>
    <row r="21" spans="1:15" ht="16.5" customHeight="1">
      <c r="A21" s="142"/>
      <c r="B21" s="4"/>
      <c r="C21" s="128"/>
      <c r="D21" s="121"/>
      <c r="E21" s="121"/>
      <c r="F21" s="122"/>
      <c r="G21" s="121"/>
      <c r="H21" s="121"/>
      <c r="I21" s="121"/>
      <c r="J21" s="123"/>
      <c r="K21" s="124"/>
      <c r="L21" s="125"/>
      <c r="M21" s="126"/>
      <c r="N21" s="143"/>
      <c r="O21" s="121"/>
    </row>
    <row r="22" spans="1:15" ht="16.5" customHeight="1" thickBot="1">
      <c r="A22" s="129"/>
      <c r="B22" s="4"/>
      <c r="C22" s="128"/>
      <c r="D22" s="121"/>
      <c r="E22" s="121"/>
      <c r="F22" s="122"/>
      <c r="G22" s="121"/>
      <c r="H22" s="121"/>
      <c r="I22" s="121"/>
      <c r="J22" s="123"/>
      <c r="K22" s="124"/>
      <c r="L22" s="164"/>
      <c r="M22" s="4"/>
      <c r="N22" s="131"/>
      <c r="O22" s="122"/>
    </row>
    <row r="23" spans="1:15" ht="16.5" customHeight="1" thickBot="1">
      <c r="A23" s="133" t="s">
        <v>23</v>
      </c>
      <c r="B23" s="133"/>
      <c r="C23" s="134"/>
      <c r="D23" s="121"/>
      <c r="E23" s="121"/>
      <c r="F23" s="121"/>
      <c r="G23" s="121"/>
      <c r="H23" s="121"/>
      <c r="I23" s="121"/>
      <c r="J23" s="123"/>
      <c r="K23" s="162"/>
      <c r="L23" s="165"/>
      <c r="M23" s="163"/>
      <c r="N23" s="161"/>
      <c r="O23" s="145"/>
    </row>
    <row r="24" spans="1:15" ht="12.75">
      <c r="A24" s="84"/>
      <c r="B24" s="21"/>
      <c r="C24" s="136"/>
      <c r="D24" s="146"/>
      <c r="E24" s="146"/>
      <c r="F24" s="146"/>
      <c r="G24" s="581" t="s">
        <v>200</v>
      </c>
      <c r="H24" s="581"/>
      <c r="I24" s="581"/>
      <c r="J24" s="173"/>
      <c r="K24" s="138"/>
      <c r="L24" s="139"/>
      <c r="M24" s="137"/>
      <c r="N24" s="147"/>
      <c r="O24" s="148"/>
    </row>
    <row r="25" spans="1:15" ht="16.5" customHeight="1">
      <c r="A25" s="142"/>
      <c r="B25" s="4"/>
      <c r="C25" s="128"/>
      <c r="D25" s="121"/>
      <c r="E25" s="121"/>
      <c r="F25" s="122"/>
      <c r="G25" s="121"/>
      <c r="H25" s="121"/>
      <c r="I25" s="121"/>
      <c r="J25" s="123"/>
      <c r="K25" s="124"/>
      <c r="L25" s="125"/>
      <c r="M25" s="126"/>
      <c r="N25" s="143"/>
      <c r="O25" s="121"/>
    </row>
    <row r="26" spans="1:15" ht="16.5" customHeight="1" thickBot="1">
      <c r="A26" s="129"/>
      <c r="B26" s="4"/>
      <c r="C26" s="128"/>
      <c r="D26" s="121"/>
      <c r="E26" s="121"/>
      <c r="F26" s="122"/>
      <c r="G26" s="121"/>
      <c r="H26" s="121"/>
      <c r="I26" s="121"/>
      <c r="J26" s="123"/>
      <c r="K26" s="124"/>
      <c r="L26" s="164"/>
      <c r="M26" s="4"/>
      <c r="N26" s="131"/>
      <c r="O26" s="122"/>
    </row>
    <row r="27" spans="1:15" ht="16.5" customHeight="1" thickBot="1">
      <c r="A27" s="133" t="s">
        <v>23</v>
      </c>
      <c r="B27" s="133"/>
      <c r="C27" s="134"/>
      <c r="D27" s="128"/>
      <c r="E27" s="128"/>
      <c r="F27" s="128"/>
      <c r="G27" s="121"/>
      <c r="H27" s="128"/>
      <c r="I27" s="128"/>
      <c r="J27" s="144"/>
      <c r="K27" s="162"/>
      <c r="L27" s="165"/>
      <c r="M27" s="163"/>
      <c r="N27" s="161"/>
      <c r="O27" s="145"/>
    </row>
    <row r="28" spans="1:15" ht="12.75">
      <c r="A28" s="84"/>
      <c r="B28" s="21"/>
      <c r="C28" s="136"/>
      <c r="D28" s="146"/>
      <c r="E28" s="146"/>
      <c r="F28" s="146"/>
      <c r="G28" s="581" t="s">
        <v>200</v>
      </c>
      <c r="H28" s="581"/>
      <c r="I28" s="581"/>
      <c r="J28" s="173"/>
      <c r="K28" s="138"/>
      <c r="L28" s="139"/>
      <c r="M28" s="137"/>
      <c r="N28" s="147"/>
      <c r="O28" s="148"/>
    </row>
    <row r="29" spans="1:15" ht="16.5" customHeight="1">
      <c r="A29" s="142"/>
      <c r="B29" s="4"/>
      <c r="C29" s="128"/>
      <c r="D29" s="121"/>
      <c r="E29" s="121"/>
      <c r="F29" s="122"/>
      <c r="G29" s="121"/>
      <c r="H29" s="121"/>
      <c r="I29" s="121"/>
      <c r="J29" s="123"/>
      <c r="K29" s="124"/>
      <c r="L29" s="125"/>
      <c r="M29" s="126"/>
      <c r="N29" s="143"/>
      <c r="O29" s="121"/>
    </row>
    <row r="30" spans="1:15" ht="16.5" customHeight="1" thickBot="1">
      <c r="A30" s="149"/>
      <c r="B30" s="4"/>
      <c r="C30" s="128"/>
      <c r="D30" s="121"/>
      <c r="E30" s="121"/>
      <c r="F30" s="122"/>
      <c r="G30" s="121"/>
      <c r="H30" s="121"/>
      <c r="I30" s="121"/>
      <c r="J30" s="123"/>
      <c r="K30" s="124"/>
      <c r="L30" s="164"/>
      <c r="M30" s="4"/>
      <c r="N30" s="131"/>
      <c r="O30" s="122"/>
    </row>
    <row r="31" spans="1:15" ht="16.5" customHeight="1" thickBot="1">
      <c r="A31" s="133" t="s">
        <v>23</v>
      </c>
      <c r="B31" s="133"/>
      <c r="C31" s="134"/>
      <c r="D31" s="128"/>
      <c r="E31" s="128"/>
      <c r="F31" s="128"/>
      <c r="G31" s="121"/>
      <c r="H31" s="128"/>
      <c r="I31" s="128"/>
      <c r="J31" s="144"/>
      <c r="K31" s="162"/>
      <c r="L31" s="165"/>
      <c r="M31" s="163"/>
      <c r="N31" s="161"/>
      <c r="O31" s="145"/>
    </row>
    <row r="32" spans="1:15" ht="12.75">
      <c r="A32" s="84"/>
      <c r="B32" s="21"/>
      <c r="C32" s="136"/>
      <c r="D32" s="146"/>
      <c r="E32" s="146"/>
      <c r="F32" s="146"/>
      <c r="G32" s="581" t="s">
        <v>200</v>
      </c>
      <c r="H32" s="581"/>
      <c r="I32" s="581"/>
      <c r="J32" s="173"/>
      <c r="K32" s="138"/>
      <c r="L32" s="139"/>
      <c r="M32" s="137"/>
      <c r="N32" s="147"/>
      <c r="O32" s="148"/>
    </row>
    <row r="33" spans="1:15" ht="16.5" customHeight="1">
      <c r="A33" s="142"/>
      <c r="B33" s="4"/>
      <c r="C33" s="128"/>
      <c r="D33" s="121"/>
      <c r="E33" s="121"/>
      <c r="F33" s="122"/>
      <c r="G33" s="121"/>
      <c r="H33" s="121"/>
      <c r="I33" s="121"/>
      <c r="J33" s="123"/>
      <c r="K33" s="124"/>
      <c r="L33" s="125"/>
      <c r="M33" s="126"/>
      <c r="N33" s="143"/>
      <c r="O33" s="121"/>
    </row>
    <row r="34" spans="1:15" ht="16.5" customHeight="1" thickBot="1">
      <c r="A34" s="129"/>
      <c r="B34" s="4"/>
      <c r="C34" s="128"/>
      <c r="D34" s="121"/>
      <c r="E34" s="121"/>
      <c r="F34" s="122"/>
      <c r="G34" s="121"/>
      <c r="H34" s="121"/>
      <c r="I34" s="121"/>
      <c r="J34" s="123"/>
      <c r="K34" s="124"/>
      <c r="L34" s="164"/>
      <c r="M34" s="4"/>
      <c r="N34" s="131"/>
      <c r="O34" s="122"/>
    </row>
    <row r="35" spans="1:15" ht="16.5" customHeight="1" thickBot="1">
      <c r="A35" s="133" t="s">
        <v>23</v>
      </c>
      <c r="B35" s="133"/>
      <c r="C35" s="134"/>
      <c r="D35" s="121"/>
      <c r="E35" s="121"/>
      <c r="F35" s="121"/>
      <c r="G35" s="121"/>
      <c r="H35" s="121"/>
      <c r="I35" s="121"/>
      <c r="J35" s="123"/>
      <c r="K35" s="162"/>
      <c r="L35" s="165"/>
      <c r="M35" s="163"/>
      <c r="N35" s="161"/>
      <c r="O35" s="145"/>
    </row>
    <row r="36" spans="1:15" ht="12.75">
      <c r="A36" s="84"/>
      <c r="B36" s="21"/>
      <c r="C36" s="136"/>
      <c r="D36" s="146"/>
      <c r="E36" s="146"/>
      <c r="F36" s="146"/>
      <c r="G36" s="589" t="s">
        <v>200</v>
      </c>
      <c r="H36" s="589"/>
      <c r="I36" s="589"/>
      <c r="J36" s="173"/>
      <c r="K36" s="138"/>
      <c r="L36" s="139"/>
      <c r="M36" s="137"/>
      <c r="N36" s="147"/>
      <c r="O36" s="171"/>
    </row>
    <row r="37" spans="1:15" ht="16.5" customHeight="1" thickBot="1">
      <c r="A37" s="107"/>
      <c r="B37" s="107"/>
      <c r="C37" s="107"/>
      <c r="D37" s="107"/>
      <c r="E37" s="107"/>
      <c r="F37" s="107"/>
      <c r="G37" s="107"/>
      <c r="H37" s="107"/>
      <c r="I37" s="107"/>
      <c r="J37" s="107"/>
      <c r="K37" s="107"/>
      <c r="L37" s="107"/>
      <c r="M37" s="107"/>
      <c r="N37" s="107"/>
      <c r="O37" s="107"/>
    </row>
    <row r="38" spans="1:15" ht="16.5" customHeight="1" thickBot="1">
      <c r="A38" s="150"/>
      <c r="B38" s="151"/>
      <c r="C38" s="150"/>
      <c r="D38" s="150"/>
      <c r="E38" s="150"/>
      <c r="F38" s="30"/>
      <c r="G38" s="152"/>
      <c r="H38" s="152"/>
      <c r="I38" s="150"/>
      <c r="J38" s="153"/>
      <c r="K38" s="150" t="s">
        <v>146</v>
      </c>
      <c r="L38" s="30"/>
      <c r="M38" s="150"/>
      <c r="N38" s="150"/>
      <c r="O38" s="152"/>
    </row>
    <row r="39" ht="16.5" customHeight="1">
      <c r="A39" s="154" t="s">
        <v>147</v>
      </c>
    </row>
    <row r="40" spans="1:14" ht="19.5" customHeight="1">
      <c r="A40" s="154" t="s">
        <v>148</v>
      </c>
      <c r="K40" t="s">
        <v>149</v>
      </c>
      <c r="L40" s="574"/>
      <c r="M40" s="574"/>
      <c r="N40" s="574"/>
    </row>
    <row r="41" spans="1:14" ht="19.5" customHeight="1">
      <c r="A41" s="590" t="s">
        <v>241</v>
      </c>
      <c r="B41" s="590"/>
      <c r="C41" s="590"/>
      <c r="D41" s="590"/>
      <c r="E41" s="590"/>
      <c r="F41" s="590"/>
      <c r="G41" s="590"/>
      <c r="K41" t="s">
        <v>150</v>
      </c>
      <c r="L41" s="588"/>
      <c r="M41" s="588"/>
      <c r="N41" s="588"/>
    </row>
  </sheetData>
  <sheetProtection password="D86C" sheet="1" objects="1" scenarios="1"/>
  <mergeCells count="19">
    <mergeCell ref="F3:J3"/>
    <mergeCell ref="C5:D5"/>
    <mergeCell ref="H5:I5"/>
    <mergeCell ref="C7:D7"/>
    <mergeCell ref="G6:H6"/>
    <mergeCell ref="M5:N5"/>
    <mergeCell ref="G20:I20"/>
    <mergeCell ref="G24:I24"/>
    <mergeCell ref="L40:N40"/>
    <mergeCell ref="K5:L5"/>
    <mergeCell ref="J6:K6"/>
    <mergeCell ref="I7:J7"/>
    <mergeCell ref="K7:L7"/>
    <mergeCell ref="G16:I16"/>
    <mergeCell ref="L41:N41"/>
    <mergeCell ref="G28:I28"/>
    <mergeCell ref="G32:I32"/>
    <mergeCell ref="G36:I36"/>
    <mergeCell ref="A41:G41"/>
  </mergeCells>
  <printOptions horizontalCentered="1" verticalCentered="1"/>
  <pageMargins left="0" right="0" top="0" bottom="0" header="0" footer="0.5"/>
  <pageSetup fitToHeight="1" fitToWidth="1" horizontalDpi="300" verticalDpi="300" orientation="landscape" scale="89" r:id="rId2"/>
  <legacyDrawing r:id="rId1"/>
</worksheet>
</file>

<file path=xl/worksheets/sheet12.xml><?xml version="1.0" encoding="utf-8"?>
<worksheet xmlns="http://schemas.openxmlformats.org/spreadsheetml/2006/main" xmlns:r="http://schemas.openxmlformats.org/officeDocument/2006/relationships">
  <sheetPr codeName="Sheet12"/>
  <dimension ref="A1:C220"/>
  <sheetViews>
    <sheetView workbookViewId="0" topLeftCell="A1">
      <selection activeCell="G20" sqref="G20"/>
    </sheetView>
  </sheetViews>
  <sheetFormatPr defaultColWidth="9.140625" defaultRowHeight="12.75"/>
  <cols>
    <col min="1" max="1" width="0.13671875" style="3" customWidth="1"/>
  </cols>
  <sheetData>
    <row r="1" spans="1:2" ht="12.75">
      <c r="A1" s="2">
        <v>0.9121362566947937</v>
      </c>
      <c r="B1">
        <v>0.3037824034690857</v>
      </c>
    </row>
    <row r="2" spans="1:2" ht="12.75">
      <c r="A2" s="2">
        <v>0.8455883264541626</v>
      </c>
      <c r="B2">
        <v>0.4172319173812866</v>
      </c>
    </row>
    <row r="3" spans="1:3" ht="12.75">
      <c r="A3" s="2">
        <v>0.6253255009651184</v>
      </c>
      <c r="B3">
        <v>0.34246259927749634</v>
      </c>
      <c r="C3">
        <v>35983</v>
      </c>
    </row>
    <row r="4" spans="1:2" ht="12.75">
      <c r="A4" s="2">
        <v>0.5516932010650635</v>
      </c>
      <c r="B4">
        <v>0.5667705535888672</v>
      </c>
    </row>
    <row r="5" spans="1:2" ht="12.75">
      <c r="A5" s="2">
        <v>0.6939615607261658</v>
      </c>
      <c r="B5">
        <v>0.8938466906547546</v>
      </c>
    </row>
    <row r="6" spans="1:2" ht="12.75">
      <c r="A6" s="2">
        <v>0.7983149290084839</v>
      </c>
      <c r="B6">
        <v>0.9126182794570923</v>
      </c>
    </row>
    <row r="7" spans="1:2" ht="12.75">
      <c r="A7" s="2">
        <v>0.33092743158340454</v>
      </c>
      <c r="B7">
        <v>0.32514506578445435</v>
      </c>
    </row>
    <row r="8" spans="1:2" ht="12.75">
      <c r="A8" s="2">
        <v>0.5298275947570801</v>
      </c>
      <c r="B8">
        <v>0.35314393043518066</v>
      </c>
    </row>
    <row r="9" spans="1:2" ht="12.75">
      <c r="A9" s="2">
        <v>0.5266024470329285</v>
      </c>
      <c r="B9">
        <v>0.5970434546470642</v>
      </c>
    </row>
    <row r="10" spans="1:2" ht="12.75">
      <c r="A10" s="2">
        <v>0.8018571138381958</v>
      </c>
      <c r="B10">
        <v>0.052295565605163574</v>
      </c>
    </row>
    <row r="11" spans="1:2" ht="12.75">
      <c r="A11" s="2">
        <v>0.8217657208442688</v>
      </c>
      <c r="B11">
        <v>0.6865392327308655</v>
      </c>
    </row>
    <row r="12" spans="1:2" ht="12.75">
      <c r="A12" s="2">
        <v>0.5587775707244873</v>
      </c>
      <c r="B12">
        <v>0.25264978408813477</v>
      </c>
    </row>
    <row r="13" spans="1:2" ht="12.75">
      <c r="A13" s="2">
        <v>0.6133212447166443</v>
      </c>
      <c r="B13">
        <v>0.5543181300163269</v>
      </c>
    </row>
    <row r="14" spans="1:2" ht="12.75">
      <c r="A14" s="2">
        <v>0.11886441707611084</v>
      </c>
      <c r="B14">
        <v>0.1804715394973755</v>
      </c>
    </row>
    <row r="15" spans="1:2" ht="12.75">
      <c r="A15" s="2">
        <v>0.8916483521461487</v>
      </c>
      <c r="B15">
        <v>0.30201131105422974</v>
      </c>
    </row>
    <row r="16" spans="1:2" ht="12.75">
      <c r="A16" s="2">
        <v>0.16677188873291016</v>
      </c>
      <c r="B16">
        <v>0.6718127727508545</v>
      </c>
    </row>
    <row r="17" spans="1:2" ht="12.75">
      <c r="A17" s="2">
        <v>0.07582205533981323</v>
      </c>
      <c r="B17">
        <v>0.8279876112937927</v>
      </c>
    </row>
    <row r="18" spans="1:2" ht="12.75">
      <c r="A18" s="2">
        <v>0.942146897315979</v>
      </c>
      <c r="B18">
        <v>0.6250423192977905</v>
      </c>
    </row>
    <row r="19" spans="1:2" ht="12.75">
      <c r="A19" s="2">
        <v>0.7496970295906067</v>
      </c>
      <c r="B19">
        <v>0.23387819528579712</v>
      </c>
    </row>
    <row r="20" spans="1:2" ht="12.75">
      <c r="A20" s="2">
        <v>0.09409070014953613</v>
      </c>
      <c r="B20">
        <v>0.14179134368896484</v>
      </c>
    </row>
    <row r="21" spans="1:2" ht="12.75">
      <c r="A21" s="2">
        <v>0.5920681357383728</v>
      </c>
      <c r="B21">
        <v>0.15247267484664917</v>
      </c>
    </row>
    <row r="22" spans="1:2" ht="12.75">
      <c r="A22" s="2">
        <v>0.8948734998703003</v>
      </c>
      <c r="B22">
        <v>0.12042868137359619</v>
      </c>
    </row>
    <row r="23" spans="1:2" ht="12.75">
      <c r="A23" s="2">
        <v>0.9241405129432678</v>
      </c>
      <c r="B23">
        <v>0.21656066179275513</v>
      </c>
    </row>
    <row r="24" spans="1:2" ht="12.75">
      <c r="A24" s="2">
        <v>0.33780431747436523</v>
      </c>
      <c r="B24">
        <v>0.9281647205352783</v>
      </c>
    </row>
    <row r="25" spans="1:2" ht="12.75">
      <c r="A25" s="2">
        <v>0.690288245677948</v>
      </c>
      <c r="B25">
        <v>0.7933525443077087</v>
      </c>
    </row>
    <row r="26" spans="1:2" ht="12.75">
      <c r="A26" s="2">
        <v>0.8984156847000122</v>
      </c>
      <c r="B26">
        <v>0.932209849357605</v>
      </c>
    </row>
    <row r="27" spans="1:2" ht="12.75">
      <c r="A27" s="2">
        <v>0.6182411313056946</v>
      </c>
      <c r="B27">
        <v>0.5156379342079163</v>
      </c>
    </row>
    <row r="28" spans="1:2" ht="12.75">
      <c r="A28" s="2">
        <v>0.36675429344177246</v>
      </c>
      <c r="B28">
        <v>0.030932903289794922</v>
      </c>
    </row>
    <row r="29" spans="1:2" ht="12.75">
      <c r="A29" s="2">
        <v>0.8393239378929138</v>
      </c>
      <c r="B29">
        <v>0.7506272196769714</v>
      </c>
    </row>
    <row r="30" spans="1:2" ht="12.75">
      <c r="A30" s="2">
        <v>0.48393189907073975</v>
      </c>
      <c r="B30">
        <v>0.3719702959060669</v>
      </c>
    </row>
    <row r="31" spans="1:2" ht="12.75">
      <c r="A31" s="2">
        <v>0.42840391397476196</v>
      </c>
      <c r="B31">
        <v>0.4426944851875305</v>
      </c>
    </row>
    <row r="32" spans="1:2" ht="12.75">
      <c r="A32" s="2">
        <v>0.9806079864501953</v>
      </c>
      <c r="B32">
        <v>0.49610114097595215</v>
      </c>
    </row>
    <row r="33" spans="1:2" ht="12.75">
      <c r="A33" s="2">
        <v>0.5732633471488953</v>
      </c>
      <c r="B33">
        <v>0.33588117361068726</v>
      </c>
    </row>
    <row r="34" spans="1:2" ht="12.75">
      <c r="A34" s="2">
        <v>0.8739258050918579</v>
      </c>
      <c r="B34">
        <v>0.8165410757064819</v>
      </c>
    </row>
    <row r="35" spans="1:2" ht="12.75">
      <c r="A35" s="2">
        <v>0.28645259141921997</v>
      </c>
      <c r="B35">
        <v>0.3745613694190979</v>
      </c>
    </row>
    <row r="36" spans="1:2" ht="12.75">
      <c r="A36" s="2">
        <v>0.8456099033355713</v>
      </c>
      <c r="B36">
        <v>0.9660797119140625</v>
      </c>
    </row>
    <row r="37" spans="1:2" ht="12.75">
      <c r="A37" s="2">
        <v>0.35508865118026733</v>
      </c>
      <c r="B37">
        <v>0.6603662371635437</v>
      </c>
    </row>
    <row r="38" spans="1:2" ht="12.75">
      <c r="A38" s="2">
        <v>0.8266524076461792</v>
      </c>
      <c r="B38">
        <v>0.5775066614151001</v>
      </c>
    </row>
    <row r="39" spans="1:2" ht="12.75">
      <c r="A39" s="2">
        <v>0.7264752984046936</v>
      </c>
      <c r="B39">
        <v>0.3572438359260559</v>
      </c>
    </row>
    <row r="40" spans="1:2" ht="12.75">
      <c r="A40" s="2">
        <v>0.5581650733947754</v>
      </c>
      <c r="B40">
        <v>0.752453088760376</v>
      </c>
    </row>
    <row r="41" spans="1:2" ht="12.75">
      <c r="A41" s="2">
        <v>0.18772953748703003</v>
      </c>
      <c r="B41">
        <v>0.5668253302574158</v>
      </c>
    </row>
    <row r="42" spans="1:2" ht="12.75">
      <c r="A42" s="2">
        <v>0.5483037233352661</v>
      </c>
      <c r="B42">
        <v>0.3892878293991089</v>
      </c>
    </row>
    <row r="43" spans="1:2" ht="12.75">
      <c r="A43" s="2">
        <v>0.21731358766555786</v>
      </c>
      <c r="B43">
        <v>0.656321108341217</v>
      </c>
    </row>
    <row r="44" spans="1:2" ht="12.75">
      <c r="A44" s="2">
        <v>0.8526942729949951</v>
      </c>
      <c r="B44">
        <v>0.8552212715148926</v>
      </c>
    </row>
    <row r="45" spans="1:2" ht="12.75">
      <c r="A45" s="2">
        <v>0.27444833517074585</v>
      </c>
      <c r="B45">
        <v>0.5241000056266785</v>
      </c>
    </row>
    <row r="46" spans="1:2" ht="12.75">
      <c r="A46" s="2">
        <v>0.07150304317474365</v>
      </c>
      <c r="B46">
        <v>0.5174638032913208</v>
      </c>
    </row>
    <row r="47" spans="1:2" ht="12.75">
      <c r="A47" s="2">
        <v>0.7560377717018127</v>
      </c>
      <c r="B47">
        <v>0.2717931866645813</v>
      </c>
    </row>
    <row r="48" spans="1:2" ht="12.75">
      <c r="A48" s="2">
        <v>0.19510936737060547</v>
      </c>
      <c r="B48">
        <v>0.008805036544799805</v>
      </c>
    </row>
    <row r="49" spans="1:2" ht="12.75">
      <c r="A49" s="2">
        <v>0.7369491457939148</v>
      </c>
      <c r="B49">
        <v>0.5321902632713318</v>
      </c>
    </row>
    <row r="50" spans="1:2" ht="12.75">
      <c r="A50" s="2">
        <v>0.7049051523208618</v>
      </c>
      <c r="B50">
        <v>0.9620345830917358</v>
      </c>
    </row>
    <row r="51" spans="1:2" ht="12.75">
      <c r="A51" s="2">
        <v>0.8796656727790833</v>
      </c>
      <c r="B51">
        <v>0.20366007089614868</v>
      </c>
    </row>
    <row r="52" spans="1:2" ht="12.75">
      <c r="A52" s="2">
        <v>0.12242817878723145</v>
      </c>
      <c r="B52">
        <v>0.47878360748291016</v>
      </c>
    </row>
    <row r="53" spans="1:2" ht="12.75">
      <c r="A53" s="2">
        <v>0.9876160025596619</v>
      </c>
      <c r="B53">
        <v>0.12225455045700073</v>
      </c>
    </row>
    <row r="54" spans="1:2" ht="12.75">
      <c r="A54" s="2">
        <v>0.3920525312423706</v>
      </c>
      <c r="B54">
        <v>0.4574209451675415</v>
      </c>
    </row>
    <row r="55" spans="1:2" ht="12.75">
      <c r="A55" s="2">
        <v>0.5066390633583069</v>
      </c>
      <c r="B55">
        <v>0.1863425374031067</v>
      </c>
    </row>
    <row r="56" spans="1:2" ht="12.75">
      <c r="A56" s="2">
        <v>0.756354808807373</v>
      </c>
      <c r="B56">
        <v>0.26515698432922363</v>
      </c>
    </row>
    <row r="57" spans="1:2" ht="12.75">
      <c r="A57" s="2">
        <v>0.8202568888664246</v>
      </c>
      <c r="B57">
        <v>0.7631344199180603</v>
      </c>
    </row>
    <row r="58" spans="1:2" ht="12.75">
      <c r="A58" s="2">
        <v>0.661173939704895</v>
      </c>
      <c r="B58">
        <v>0.5347813367843628</v>
      </c>
    </row>
    <row r="59" spans="1:2" ht="12.75">
      <c r="A59" s="2">
        <v>0.9974773526191711</v>
      </c>
      <c r="B59">
        <v>0.4854198098182678</v>
      </c>
    </row>
    <row r="60" spans="1:2" ht="12.75">
      <c r="A60" s="2">
        <v>0.05088400840759277</v>
      </c>
      <c r="B60">
        <v>0.36792516708374023</v>
      </c>
    </row>
    <row r="61" spans="1:2" ht="12.75">
      <c r="A61" s="2">
        <v>0.9692925810813904</v>
      </c>
      <c r="B61">
        <v>0.720409095287323</v>
      </c>
    </row>
    <row r="62" spans="1:2" ht="12.75">
      <c r="A62" s="2">
        <v>0.9811109304428101</v>
      </c>
      <c r="B62">
        <v>0.6629573106765747</v>
      </c>
    </row>
    <row r="63" spans="1:2" ht="12.75">
      <c r="A63" s="2">
        <v>0.2735520005226135</v>
      </c>
      <c r="B63">
        <v>0.10089188814163208</v>
      </c>
    </row>
    <row r="64" spans="1:2" ht="12.75">
      <c r="A64" s="2">
        <v>0.3962287902832031</v>
      </c>
      <c r="B64">
        <v>0.5215089321136475</v>
      </c>
    </row>
    <row r="65" spans="1:2" ht="12.75">
      <c r="A65" s="2">
        <v>0.3636171221733093</v>
      </c>
      <c r="B65">
        <v>0.9940785765647888</v>
      </c>
    </row>
    <row r="66" spans="1:2" ht="12.75">
      <c r="A66" s="2">
        <v>0.015178322792053223</v>
      </c>
      <c r="B66">
        <v>0.10752809047698975</v>
      </c>
    </row>
    <row r="67" spans="1:2" ht="12.75">
      <c r="A67" s="2">
        <v>0.38839083909988403</v>
      </c>
      <c r="B67">
        <v>0.03275877237319946</v>
      </c>
    </row>
    <row r="68" spans="1:2" ht="12.75">
      <c r="A68" s="2">
        <v>0.3147585391998291</v>
      </c>
      <c r="B68">
        <v>0.2570667266845703</v>
      </c>
    </row>
    <row r="69" spans="1:2" ht="12.75">
      <c r="A69" s="2">
        <v>0.8635515570640564</v>
      </c>
      <c r="B69">
        <v>0.31856364011764526</v>
      </c>
    </row>
    <row r="70" spans="1:2" ht="12.75">
      <c r="A70" s="2">
        <v>0.9679049253463745</v>
      </c>
      <c r="B70">
        <v>0.6029144525527954</v>
      </c>
    </row>
    <row r="71" spans="1:2" ht="12.75">
      <c r="A71" s="2">
        <v>0.5628343224525452</v>
      </c>
      <c r="B71">
        <v>0.01544123888015747</v>
      </c>
    </row>
    <row r="72" spans="1:2" ht="12.75">
      <c r="A72" s="2">
        <v>0.2928929328918457</v>
      </c>
      <c r="B72">
        <v>0.04344010353088379</v>
      </c>
    </row>
    <row r="73" spans="1:2" ht="12.75">
      <c r="A73" s="2">
        <v>0.6961924433708191</v>
      </c>
      <c r="B73">
        <v>0.22502273321151733</v>
      </c>
    </row>
    <row r="74" spans="1:2" ht="12.75">
      <c r="A74" s="2">
        <v>0.9714471101760864</v>
      </c>
      <c r="B74">
        <v>0.4146956205368042</v>
      </c>
    </row>
    <row r="75" spans="1:2" ht="12.75">
      <c r="A75" s="2">
        <v>0.2569349408149719</v>
      </c>
      <c r="B75">
        <v>0.3145185112953186</v>
      </c>
    </row>
    <row r="76" spans="1:2" ht="12.75">
      <c r="A76" s="2">
        <v>0.9939467906951904</v>
      </c>
      <c r="B76">
        <v>0.8806290626525879</v>
      </c>
    </row>
    <row r="77" spans="1:2" ht="12.75">
      <c r="A77" s="2">
        <v>0.8452281355857849</v>
      </c>
      <c r="B77">
        <v>0.18229740858078003</v>
      </c>
    </row>
    <row r="78" spans="1:2" ht="12.75">
      <c r="A78" s="2">
        <v>0.556963324546814</v>
      </c>
      <c r="B78">
        <v>0.5428715944290161</v>
      </c>
    </row>
    <row r="79" spans="1:2" ht="12.75">
      <c r="A79" s="2">
        <v>0.7985888123512268</v>
      </c>
      <c r="B79">
        <v>0.9299905896186829</v>
      </c>
    </row>
    <row r="80" spans="1:2" ht="12.75">
      <c r="A80" s="2">
        <v>0.3392915725708008</v>
      </c>
      <c r="B80">
        <v>0.2997920513153076</v>
      </c>
    </row>
    <row r="81" spans="1:2" ht="12.75">
      <c r="A81" s="2">
        <v>0.5139209628105164</v>
      </c>
      <c r="B81">
        <v>0.19038766622543335</v>
      </c>
    </row>
    <row r="82" spans="1:2" ht="12.75">
      <c r="A82" s="2">
        <v>0.9247862100601196</v>
      </c>
      <c r="B82">
        <v>0.9874423742294312</v>
      </c>
    </row>
    <row r="83" spans="1:2" ht="12.75">
      <c r="A83" s="2">
        <v>0.6537078022956848</v>
      </c>
      <c r="B83">
        <v>0.5962782502174377</v>
      </c>
    </row>
    <row r="84" spans="1:2" ht="12.75">
      <c r="A84" s="2">
        <v>0.9981014728546143</v>
      </c>
      <c r="B84">
        <v>0.769770622253418</v>
      </c>
    </row>
    <row r="85" spans="1:2" ht="12.75">
      <c r="A85" s="2">
        <v>0.027237355709075928</v>
      </c>
      <c r="B85">
        <v>0.7804519534111023</v>
      </c>
    </row>
    <row r="86" spans="1:2" ht="12.75">
      <c r="A86" s="2">
        <v>0.5333050489425659</v>
      </c>
      <c r="B86">
        <v>0.9516702890396118</v>
      </c>
    </row>
    <row r="87" spans="1:2" ht="12.75">
      <c r="A87" s="2">
        <v>0.828151285648346</v>
      </c>
      <c r="B87">
        <v>0.04780226945877075</v>
      </c>
    </row>
    <row r="88" spans="1:2" ht="12.75">
      <c r="A88" s="2">
        <v>0.24181509017944336</v>
      </c>
      <c r="B88">
        <v>0.759406328201294</v>
      </c>
    </row>
    <row r="89" spans="1:2" ht="12.75">
      <c r="A89" s="2">
        <v>0.8598782420158386</v>
      </c>
      <c r="B89">
        <v>0.6245941519737244</v>
      </c>
    </row>
    <row r="90" spans="1:2" ht="12.75">
      <c r="A90" s="2">
        <v>0.8024264574050903</v>
      </c>
      <c r="B90">
        <v>0.7634514570236206</v>
      </c>
    </row>
    <row r="91" spans="1:2" ht="12.75">
      <c r="A91" s="2">
        <v>0.7715194821357727</v>
      </c>
      <c r="B91">
        <v>0.3468795418739319</v>
      </c>
    </row>
    <row r="92" spans="1:2" ht="12.75">
      <c r="A92" s="2">
        <v>0.2707650661468506</v>
      </c>
      <c r="B92">
        <v>0.596595287322998</v>
      </c>
    </row>
    <row r="93" spans="1:2" ht="12.75">
      <c r="A93" s="2">
        <v>0.27449315786361694</v>
      </c>
      <c r="B93">
        <v>0.5818688273429871</v>
      </c>
    </row>
    <row r="94" spans="1:2" ht="12.75">
      <c r="A94" s="2">
        <v>0.12236344814300537</v>
      </c>
      <c r="B94">
        <v>0.8916274309158325</v>
      </c>
    </row>
    <row r="95" spans="1:2" ht="12.75">
      <c r="A95" s="2">
        <v>0.3131733536720276</v>
      </c>
      <c r="B95">
        <v>0.9623516201972961</v>
      </c>
    </row>
    <row r="96" spans="1:2" ht="12.75">
      <c r="A96" s="2">
        <v>0.6161098480224609</v>
      </c>
      <c r="B96">
        <v>0.015758275985717773</v>
      </c>
    </row>
    <row r="97" spans="1:2" ht="12.75">
      <c r="A97" s="2">
        <v>0.9431859850883484</v>
      </c>
      <c r="B97">
        <v>0.8555383086204529</v>
      </c>
    </row>
    <row r="98" spans="1:2" ht="12.75">
      <c r="A98" s="2">
        <v>0.7586952447891235</v>
      </c>
      <c r="B98">
        <v>0.33619821071624756</v>
      </c>
    </row>
    <row r="99" spans="1:2" ht="12.75">
      <c r="A99" s="2">
        <v>0.4368012547492981</v>
      </c>
      <c r="B99">
        <v>0.628639280796051</v>
      </c>
    </row>
    <row r="100" spans="1:2" ht="12.75">
      <c r="A100" s="2">
        <v>0.4840414524078369</v>
      </c>
      <c r="B100">
        <v>0.4857368469238281</v>
      </c>
    </row>
    <row r="101" spans="1:2" ht="12.75">
      <c r="A101" s="2">
        <v>0.6656240820884705</v>
      </c>
      <c r="B101">
        <v>0.18002337217330933</v>
      </c>
    </row>
    <row r="102" spans="1:2" ht="12.75">
      <c r="A102" s="2">
        <v>0.4487723112106323</v>
      </c>
      <c r="B102">
        <v>0.8315845727920532</v>
      </c>
    </row>
    <row r="103" spans="1:2" ht="12.75">
      <c r="A103" s="2">
        <v>0.8797536492347717</v>
      </c>
      <c r="B103">
        <v>0.8769009709358215</v>
      </c>
    </row>
    <row r="104" spans="1:2" ht="12.75">
      <c r="A104" s="2">
        <v>0.4621758460998535</v>
      </c>
      <c r="B104">
        <v>0.2721102237701416</v>
      </c>
    </row>
    <row r="105" spans="1:2" ht="12.75">
      <c r="A105" s="2">
        <v>0.49826496839523315</v>
      </c>
      <c r="B105">
        <v>0.8209032416343689</v>
      </c>
    </row>
    <row r="106" spans="1:2" ht="12.75">
      <c r="A106" s="2">
        <v>0.45231449604034424</v>
      </c>
      <c r="B106">
        <v>0.9089449644088745</v>
      </c>
    </row>
    <row r="107" spans="1:2" ht="12.75">
      <c r="A107" s="2">
        <v>0.370591938495636</v>
      </c>
      <c r="B107">
        <v>0.17597824335098267</v>
      </c>
    </row>
    <row r="108" spans="1:2" ht="12.75">
      <c r="A108" s="2">
        <v>0.47481417655944824</v>
      </c>
      <c r="B108">
        <v>0.3748784065246582</v>
      </c>
    </row>
    <row r="109" spans="1:2" ht="12.75">
      <c r="A109" s="2">
        <v>0.647300660610199</v>
      </c>
      <c r="B109">
        <v>0.7781779170036316</v>
      </c>
    </row>
    <row r="110" spans="1:2" ht="12.75">
      <c r="A110" s="2">
        <v>0.9755138158798218</v>
      </c>
      <c r="B110">
        <v>0.037120938301086426</v>
      </c>
    </row>
    <row r="111" ht="12.75">
      <c r="B111">
        <v>0.7914503216743469</v>
      </c>
    </row>
    <row r="112" ht="12.75">
      <c r="B112">
        <v>0.5284621715545654</v>
      </c>
    </row>
    <row r="113" ht="12.75">
      <c r="B113">
        <v>0.05184739828109741</v>
      </c>
    </row>
    <row r="114" ht="12.75">
      <c r="B114">
        <v>0.48169171810150146</v>
      </c>
    </row>
    <row r="115" ht="12.75">
      <c r="B115">
        <v>0.4577379822731018</v>
      </c>
    </row>
    <row r="116" ht="12.75">
      <c r="B116">
        <v>0.9984407424926758</v>
      </c>
    </row>
    <row r="117" ht="12.75">
      <c r="B117">
        <v>0.6419116854667664</v>
      </c>
    </row>
    <row r="118" ht="12.75">
      <c r="B118">
        <v>0.9770780801773071</v>
      </c>
    </row>
    <row r="119" ht="12.75">
      <c r="B119">
        <v>0.7059996724128723</v>
      </c>
    </row>
    <row r="120" ht="12.75">
      <c r="B120">
        <v>0.7848141193389893</v>
      </c>
    </row>
    <row r="121" ht="12.75">
      <c r="B121">
        <v>0.2827915549278259</v>
      </c>
    </row>
    <row r="122" ht="12.75">
      <c r="B122">
        <v>0.7888592481613159</v>
      </c>
    </row>
    <row r="123" ht="12.75">
      <c r="B123">
        <v>0.005076944828033447</v>
      </c>
    </row>
    <row r="124" ht="12.75">
      <c r="B124">
        <v>0.8875823020935059</v>
      </c>
    </row>
    <row r="125" ht="12.75">
      <c r="B125">
        <v>0.24006623029708862</v>
      </c>
    </row>
    <row r="126" ht="12.75">
      <c r="B126">
        <v>0.18261444568634033</v>
      </c>
    </row>
    <row r="127" ht="12.75">
      <c r="B127">
        <v>0.6205490231513977</v>
      </c>
    </row>
    <row r="128" ht="12.75">
      <c r="B128">
        <v>0.041166067123413086</v>
      </c>
    </row>
    <row r="129" ht="12.75">
      <c r="B129">
        <v>0.5137357115745544</v>
      </c>
    </row>
    <row r="130" ht="12.75">
      <c r="B130">
        <v>0.36160600185394287</v>
      </c>
    </row>
    <row r="131" ht="12.75">
      <c r="B131">
        <v>0.2868366837501526</v>
      </c>
    </row>
    <row r="132" ht="12.75">
      <c r="B132">
        <v>0.5111446380615234</v>
      </c>
    </row>
    <row r="133" ht="12.75">
      <c r="B133">
        <v>0.8382207751274109</v>
      </c>
    </row>
    <row r="134" ht="12.75">
      <c r="B134">
        <v>0.12257158756256104</v>
      </c>
    </row>
    <row r="135" ht="12.75">
      <c r="B135">
        <v>0.5350983738899231</v>
      </c>
    </row>
    <row r="136" ht="12.75">
      <c r="B136">
        <v>0.2975180149078369</v>
      </c>
    </row>
    <row r="137" ht="12.75">
      <c r="B137">
        <v>0.47910064458847046</v>
      </c>
    </row>
    <row r="138" ht="12.75">
      <c r="B138">
        <v>0.9343527555465698</v>
      </c>
    </row>
    <row r="139" ht="12.75">
      <c r="B139">
        <v>0.8341756463050842</v>
      </c>
    </row>
    <row r="140" ht="12.75">
      <c r="B140">
        <v>0.4002861976623535</v>
      </c>
    </row>
    <row r="141" ht="12.75">
      <c r="B141">
        <v>0.43637531995773315</v>
      </c>
    </row>
    <row r="142" ht="12.75">
      <c r="B142">
        <v>0.06252872943878174</v>
      </c>
    </row>
    <row r="143" ht="12.75">
      <c r="B143">
        <v>0.4496477246284485</v>
      </c>
    </row>
    <row r="144" ht="12.75">
      <c r="B144">
        <v>0.5538699626922607</v>
      </c>
    </row>
    <row r="145" ht="12.75">
      <c r="B145">
        <v>0.710044801235199</v>
      </c>
    </row>
    <row r="146" ht="12.75">
      <c r="B146">
        <v>0.5070995092391968</v>
      </c>
    </row>
    <row r="147" ht="12.75">
      <c r="B147">
        <v>0.11593538522720337</v>
      </c>
    </row>
    <row r="148" ht="12.75">
      <c r="B148">
        <v>0.2894277572631836</v>
      </c>
    </row>
    <row r="149" ht="12.75">
      <c r="B149">
        <v>0.3001090884208679</v>
      </c>
    </row>
    <row r="150" ht="12.75">
      <c r="B150">
        <v>0.26806509494781494</v>
      </c>
    </row>
    <row r="151" ht="12.75">
      <c r="B151">
        <v>0.3641970753669739</v>
      </c>
    </row>
    <row r="152" ht="12.75">
      <c r="B152">
        <v>0.8102219104766846</v>
      </c>
    </row>
    <row r="153" ht="12.75">
      <c r="B153">
        <v>0.9409889578819275</v>
      </c>
    </row>
    <row r="154" ht="12.75">
      <c r="B154">
        <v>0.07984626293182373</v>
      </c>
    </row>
    <row r="155" ht="12.75">
      <c r="B155">
        <v>0.663274347782135</v>
      </c>
    </row>
    <row r="156" ht="12.75">
      <c r="B156">
        <v>0.9129900932312012</v>
      </c>
    </row>
    <row r="157" ht="12.75">
      <c r="B157">
        <v>0.8982636332511902</v>
      </c>
    </row>
    <row r="158" ht="12.75">
      <c r="B158">
        <v>0.20802223682403564</v>
      </c>
    </row>
    <row r="159" ht="12.75">
      <c r="B159">
        <v>0.27874642610549927</v>
      </c>
    </row>
    <row r="160" ht="12.75">
      <c r="B160">
        <v>0.3321530818939209</v>
      </c>
    </row>
    <row r="161" ht="12.75">
      <c r="B161">
        <v>0.171933114528656</v>
      </c>
    </row>
    <row r="162" ht="12.75">
      <c r="B162">
        <v>0.6525930166244507</v>
      </c>
    </row>
    <row r="163" ht="12.75">
      <c r="B163">
        <v>0.9450340867042542</v>
      </c>
    </row>
    <row r="164" ht="12.75">
      <c r="B164">
        <v>0.8021316528320312</v>
      </c>
    </row>
    <row r="165" ht="12.75">
      <c r="B165">
        <v>0.49641817808151245</v>
      </c>
    </row>
    <row r="166" ht="12.75">
      <c r="B166">
        <v>0.14797937870025635</v>
      </c>
    </row>
    <row r="167" ht="12.75">
      <c r="B167">
        <v>0.19329577684402466</v>
      </c>
    </row>
    <row r="168" ht="12.75">
      <c r="B168">
        <v>0.5885050296783447</v>
      </c>
    </row>
    <row r="169" ht="12.75">
      <c r="B169">
        <v>0.13729804754257202</v>
      </c>
    </row>
    <row r="170" ht="12.75">
      <c r="B170">
        <v>0.22533977031707764</v>
      </c>
    </row>
    <row r="171" ht="12.75">
      <c r="B171">
        <v>0.4923730492591858</v>
      </c>
    </row>
    <row r="172" ht="12.75">
      <c r="B172">
        <v>0.42569398880004883</v>
      </c>
    </row>
    <row r="173" ht="12.75">
      <c r="B173">
        <v>0.09457272291183472</v>
      </c>
    </row>
    <row r="174" ht="12.75">
      <c r="B174">
        <v>0.35351574420928955</v>
      </c>
    </row>
    <row r="175" ht="12.75">
      <c r="B175">
        <v>0.8422659039497375</v>
      </c>
    </row>
    <row r="176" ht="12.75">
      <c r="B176">
        <v>0.8448569774627686</v>
      </c>
    </row>
    <row r="177" ht="12.75">
      <c r="B177">
        <v>0.36824220418930054</v>
      </c>
    </row>
    <row r="178" ht="12.75">
      <c r="B178">
        <v>0.5325073003768921</v>
      </c>
    </row>
    <row r="179" ht="12.75">
      <c r="B179">
        <v>0.7741327881813049</v>
      </c>
    </row>
    <row r="180" ht="12.75">
      <c r="B180">
        <v>0.3148355484008789</v>
      </c>
    </row>
    <row r="181" ht="12.75">
      <c r="B181">
        <v>0.692727267742157</v>
      </c>
    </row>
    <row r="182" ht="12.75">
      <c r="B182">
        <v>0.29347288608551025</v>
      </c>
    </row>
    <row r="183" ht="12.75">
      <c r="B183">
        <v>0.7568152546882629</v>
      </c>
    </row>
    <row r="184" ht="12.75">
      <c r="B184">
        <v>0.10120892524719238</v>
      </c>
    </row>
    <row r="185" ht="12.75">
      <c r="B185">
        <v>0.599186360836029</v>
      </c>
    </row>
    <row r="186" ht="12.75">
      <c r="B186">
        <v>0.10525405406951904</v>
      </c>
    </row>
    <row r="187" ht="12.75">
      <c r="B187">
        <v>0.3214717507362366</v>
      </c>
    </row>
    <row r="188" ht="12.75">
      <c r="B188">
        <v>0.8760809898376465</v>
      </c>
    </row>
    <row r="189" ht="12.75">
      <c r="B189">
        <v>0.22856491804122925</v>
      </c>
    </row>
    <row r="190" ht="12.75">
      <c r="B190">
        <v>0.9055339097976685</v>
      </c>
    </row>
    <row r="191" ht="12.75">
      <c r="B191">
        <v>0.34346848726272583</v>
      </c>
    </row>
    <row r="192" ht="12.75">
      <c r="B192">
        <v>0.02966475486755371</v>
      </c>
    </row>
    <row r="193" ht="12.75">
      <c r="B193">
        <v>0.23665517568588257</v>
      </c>
    </row>
    <row r="194" ht="12.75">
      <c r="B194">
        <v>0.3501046895980835</v>
      </c>
    </row>
    <row r="195" ht="12.75">
      <c r="B195">
        <v>0.2753353714942932</v>
      </c>
    </row>
    <row r="196" ht="12.75">
      <c r="B196">
        <v>0.49964332580566406</v>
      </c>
    </row>
    <row r="197" ht="12.75">
      <c r="B197">
        <v>0.8267194628715515</v>
      </c>
    </row>
    <row r="198" ht="12.75">
      <c r="B198">
        <v>0.11107027530670166</v>
      </c>
    </row>
    <row r="199" ht="12.75">
      <c r="B199">
        <v>0.2580178380012512</v>
      </c>
    </row>
    <row r="200" ht="12.75">
      <c r="B200">
        <v>0.28601670265197754</v>
      </c>
    </row>
    <row r="201" ht="12.75">
      <c r="B201">
        <v>0.4675993323326111</v>
      </c>
    </row>
    <row r="202" ht="12.75">
      <c r="B202">
        <v>0.9228514432907104</v>
      </c>
    </row>
    <row r="203" ht="12.75">
      <c r="B203">
        <v>0.8226743340492249</v>
      </c>
    </row>
    <row r="204" ht="12.75">
      <c r="B204">
        <v>0.38878488540649414</v>
      </c>
    </row>
    <row r="205" ht="12.75">
      <c r="B205">
        <v>0.4248740077018738</v>
      </c>
    </row>
    <row r="206" ht="12.75">
      <c r="B206">
        <v>0.05102741718292236</v>
      </c>
    </row>
    <row r="207" ht="12.75">
      <c r="B207">
        <v>0.1725671887397766</v>
      </c>
    </row>
    <row r="208" ht="12.75">
      <c r="B208">
        <v>0.5423686504364014</v>
      </c>
    </row>
    <row r="209" ht="12.75">
      <c r="B209">
        <v>0.6985434889793396</v>
      </c>
    </row>
    <row r="210" ht="12.75">
      <c r="B210">
        <v>0.4955981969833374</v>
      </c>
    </row>
    <row r="211" ht="12.75">
      <c r="B211">
        <v>0.104434072971344</v>
      </c>
    </row>
    <row r="212" ht="12.75">
      <c r="B212">
        <v>0.012347221374511719</v>
      </c>
    </row>
    <row r="213" ht="12.75">
      <c r="B213">
        <v>0.023028552532196045</v>
      </c>
    </row>
    <row r="214" ht="12.75">
      <c r="B214">
        <v>0.9909845590591431</v>
      </c>
    </row>
    <row r="215" ht="12.75">
      <c r="B215">
        <v>0.087116539478302</v>
      </c>
    </row>
    <row r="216" ht="12.75">
      <c r="B216">
        <v>0.7987205982208252</v>
      </c>
    </row>
    <row r="217" ht="12.75">
      <c r="B217">
        <v>0.9294876456260681</v>
      </c>
    </row>
    <row r="218" ht="12.75">
      <c r="B218">
        <v>0.06834495067596436</v>
      </c>
    </row>
    <row r="219" ht="12.75">
      <c r="B219">
        <v>0.38619381189346313</v>
      </c>
    </row>
    <row r="220" ht="12.75">
      <c r="B220">
        <v>0.9014887809753418</v>
      </c>
    </row>
  </sheetData>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31"/>
  <dimension ref="A1:CB89"/>
  <sheetViews>
    <sheetView showGridLines="0" zoomScale="75" zoomScaleNormal="75" zoomScaleSheetLayoutView="75" workbookViewId="0" topLeftCell="A1">
      <selection activeCell="E5" sqref="E5:F5"/>
    </sheetView>
  </sheetViews>
  <sheetFormatPr defaultColWidth="9.140625" defaultRowHeight="12.75"/>
  <cols>
    <col min="1" max="1" width="4.7109375" style="0" customWidth="1"/>
    <col min="2" max="2" width="9.140625" style="0" hidden="1" customWidth="1"/>
    <col min="3" max="3" width="14.140625" style="18" customWidth="1"/>
    <col min="4" max="4" width="19.57421875" style="0" customWidth="1"/>
    <col min="5" max="5" width="11.00390625" style="0" customWidth="1"/>
    <col min="10" max="10" width="12.7109375" style="0" customWidth="1"/>
    <col min="11" max="11" width="18.421875" style="0" customWidth="1"/>
    <col min="12" max="12" width="13.7109375" style="0" customWidth="1"/>
    <col min="13" max="13" width="14.421875" style="0" bestFit="1" customWidth="1"/>
    <col min="14" max="14" width="10.57421875" style="0" bestFit="1" customWidth="1"/>
    <col min="15" max="15" width="12.7109375" style="0" customWidth="1"/>
    <col min="17" max="17" width="14.421875" style="0" customWidth="1"/>
    <col min="18" max="18" width="8.140625" style="0" customWidth="1"/>
    <col min="19" max="20" width="5.7109375" style="0" customWidth="1"/>
    <col min="21" max="21" width="6.421875" style="0" hidden="1" customWidth="1"/>
    <col min="22" max="22" width="7.421875" style="0" hidden="1" customWidth="1"/>
    <col min="23" max="24" width="11.00390625" style="0" hidden="1" customWidth="1"/>
    <col min="25" max="25" width="13.140625" style="0" hidden="1" customWidth="1"/>
    <col min="26" max="26" width="9.00390625" style="0" hidden="1" customWidth="1"/>
    <col min="27" max="27" width="9.57421875" style="0" hidden="1" customWidth="1"/>
    <col min="28" max="28" width="8.7109375" style="0" hidden="1" customWidth="1"/>
    <col min="29" max="29" width="7.8515625" style="0" hidden="1" customWidth="1"/>
    <col min="30" max="31" width="7.57421875" style="0" hidden="1" customWidth="1"/>
    <col min="32" max="32" width="5.7109375" style="0" hidden="1" customWidth="1"/>
    <col min="33" max="33" width="10.8515625" style="0" hidden="1" customWidth="1"/>
    <col min="34" max="34" width="13.00390625" style="0" hidden="1" customWidth="1"/>
    <col min="35" max="35" width="5.7109375" style="0" hidden="1" customWidth="1"/>
    <col min="36" max="36" width="7.421875" style="0" hidden="1" customWidth="1"/>
    <col min="37" max="37" width="11.57421875" style="0" hidden="1" customWidth="1"/>
    <col min="38" max="38" width="12.28125" style="0" hidden="1" customWidth="1"/>
    <col min="39" max="39" width="11.8515625" style="0" hidden="1" customWidth="1"/>
    <col min="40" max="40" width="13.140625" style="0" hidden="1" customWidth="1"/>
    <col min="41" max="41" width="12.28125" style="0" hidden="1" customWidth="1"/>
    <col min="42" max="42" width="9.7109375" style="0" hidden="1" customWidth="1"/>
    <col min="43" max="45" width="5.7109375" style="0" hidden="1" customWidth="1"/>
    <col min="46" max="46" width="24.28125" style="0" hidden="1" customWidth="1"/>
    <col min="47" max="47" width="10.00390625" style="0" hidden="1" customWidth="1"/>
    <col min="48" max="48" width="13.140625" style="0" hidden="1" customWidth="1"/>
    <col min="49" max="49" width="12.421875" style="0" hidden="1" customWidth="1"/>
    <col min="50" max="54" width="5.7109375" style="0" hidden="1" customWidth="1"/>
    <col min="55" max="72" width="9.140625" style="0" hidden="1" customWidth="1"/>
    <col min="73" max="73" width="18.00390625" style="0" hidden="1" customWidth="1"/>
    <col min="74" max="74" width="9.140625" style="0" hidden="1" customWidth="1"/>
    <col min="75" max="75" width="11.7109375" style="159" hidden="1" customWidth="1"/>
    <col min="76" max="83" width="9.140625" style="0" hidden="1" customWidth="1"/>
    <col min="84" max="84" width="9.140625" style="0" customWidth="1"/>
  </cols>
  <sheetData>
    <row r="1" spans="1:69" ht="12.75">
      <c r="A1" s="182"/>
      <c r="BG1" s="65"/>
      <c r="BH1" s="7"/>
      <c r="BJ1" s="12"/>
      <c r="BK1" s="12"/>
      <c r="BO1" s="66"/>
      <c r="BP1" s="66"/>
      <c r="BQ1" s="66"/>
    </row>
    <row r="2" spans="1:69" ht="12.75">
      <c r="A2" s="18"/>
      <c r="B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G2" s="65"/>
      <c r="BH2" s="7"/>
      <c r="BJ2" s="12"/>
      <c r="BK2" s="12"/>
      <c r="BO2" s="66"/>
      <c r="BP2" s="66"/>
      <c r="BQ2" s="66"/>
    </row>
    <row r="3" spans="1:70" ht="19.5">
      <c r="A3" s="18"/>
      <c r="B3" s="18"/>
      <c r="C3" s="183">
        <f>Notes!$A$2</f>
        <v>39548</v>
      </c>
      <c r="D3" s="18"/>
      <c r="E3" s="184" t="s">
        <v>26</v>
      </c>
      <c r="F3" s="18"/>
      <c r="H3" s="18"/>
      <c r="I3" s="18"/>
      <c r="J3" s="18"/>
      <c r="K3" s="18"/>
      <c r="M3" s="18"/>
      <c r="O3" s="18" t="s">
        <v>231</v>
      </c>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G3" s="65"/>
      <c r="BH3" s="65"/>
      <c r="BI3" s="65"/>
      <c r="BJ3" s="65"/>
      <c r="BK3" s="7"/>
      <c r="BL3" s="66" t="s">
        <v>28</v>
      </c>
      <c r="BM3" s="66" t="s">
        <v>29</v>
      </c>
      <c r="BN3" s="7" t="s">
        <v>8</v>
      </c>
      <c r="BO3" s="7"/>
      <c r="BQ3" s="7"/>
      <c r="BR3" s="66"/>
    </row>
    <row r="4" spans="1:70" ht="12.75">
      <c r="A4" s="18"/>
      <c r="B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G4" s="65"/>
      <c r="BH4" s="65"/>
      <c r="BI4" s="65"/>
      <c r="BJ4" s="65"/>
      <c r="BK4" s="7"/>
      <c r="BL4" s="66" t="s">
        <v>34</v>
      </c>
      <c r="BM4" s="66" t="s">
        <v>34</v>
      </c>
      <c r="BN4" s="7" t="s">
        <v>35</v>
      </c>
      <c r="BP4" s="7" t="s">
        <v>37</v>
      </c>
      <c r="BQ4" s="7" t="s">
        <v>37</v>
      </c>
      <c r="BR4" s="66"/>
    </row>
    <row r="5" spans="1:75" ht="24.75" customHeight="1">
      <c r="A5" s="18"/>
      <c r="B5" s="18"/>
      <c r="D5" s="267" t="s">
        <v>0</v>
      </c>
      <c r="E5" s="417" t="s">
        <v>243</v>
      </c>
      <c r="F5" s="403"/>
      <c r="G5" s="394" t="s">
        <v>39</v>
      </c>
      <c r="H5" s="395"/>
      <c r="I5" s="417">
        <v>12</v>
      </c>
      <c r="J5" s="403"/>
      <c r="K5" s="189" t="s">
        <v>40</v>
      </c>
      <c r="L5" s="404" t="s">
        <v>246</v>
      </c>
      <c r="M5" s="405"/>
      <c r="N5" s="4" t="s">
        <v>33</v>
      </c>
      <c r="O5" s="382">
        <v>37748</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K5" s="7" t="s">
        <v>37</v>
      </c>
      <c r="BL5" s="66" t="s">
        <v>8</v>
      </c>
      <c r="BM5" s="66" t="s">
        <v>8</v>
      </c>
      <c r="BN5" s="7" t="s">
        <v>37</v>
      </c>
      <c r="BO5" s="7"/>
      <c r="BP5" s="7" t="s">
        <v>77</v>
      </c>
      <c r="BQ5" s="7" t="s">
        <v>82</v>
      </c>
      <c r="BR5" s="7" t="s">
        <v>37</v>
      </c>
      <c r="BU5" s="85" t="s">
        <v>55</v>
      </c>
      <c r="BW5" s="1" t="s">
        <v>153</v>
      </c>
    </row>
    <row r="6" spans="1:75" ht="24.75" customHeight="1">
      <c r="A6" s="18"/>
      <c r="B6" s="18"/>
      <c r="D6" s="188" t="s">
        <v>2</v>
      </c>
      <c r="E6" s="406" t="s">
        <v>244</v>
      </c>
      <c r="F6" s="407"/>
      <c r="G6" s="411" t="s">
        <v>44</v>
      </c>
      <c r="H6" s="412"/>
      <c r="I6" s="408" t="s">
        <v>245</v>
      </c>
      <c r="J6" s="409"/>
      <c r="K6" s="190" t="s">
        <v>45</v>
      </c>
      <c r="L6" s="402">
        <v>37019</v>
      </c>
      <c r="M6" s="393"/>
      <c r="N6" s="4" t="s">
        <v>41</v>
      </c>
      <c r="O6" s="383">
        <v>2</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K6" s="7" t="s">
        <v>88</v>
      </c>
      <c r="BL6" s="12">
        <v>0</v>
      </c>
      <c r="BM6" s="12">
        <f>F8</f>
        <v>416.75</v>
      </c>
      <c r="BN6" s="12">
        <f>ABS(BM6-BL6)</f>
        <v>416.75</v>
      </c>
      <c r="BO6" s="7"/>
      <c r="BP6" s="12">
        <f>O13</f>
        <v>126.60131664574146</v>
      </c>
      <c r="BQ6" s="12">
        <f>BP6+BL6</f>
        <v>126.60131664574146</v>
      </c>
      <c r="BR6" s="7" t="s">
        <v>88</v>
      </c>
      <c r="BU6" s="86" t="s">
        <v>57</v>
      </c>
      <c r="BW6" s="1" t="s">
        <v>154</v>
      </c>
    </row>
    <row r="7" spans="1:75" ht="24.75" customHeight="1">
      <c r="A7" s="18"/>
      <c r="B7" s="18"/>
      <c r="D7" s="411" t="s">
        <v>109</v>
      </c>
      <c r="E7" s="412"/>
      <c r="F7" s="68">
        <v>5001</v>
      </c>
      <c r="G7" s="413" t="s">
        <v>67</v>
      </c>
      <c r="H7" s="414"/>
      <c r="I7" s="4">
        <f>IF(I9&gt;0,I9,VLOOKUP(F7,BE8:BF16,2))</f>
        <v>6</v>
      </c>
      <c r="J7" s="4" t="s">
        <v>63</v>
      </c>
      <c r="K7" s="388">
        <v>2350</v>
      </c>
      <c r="L7" s="23" t="s">
        <v>110</v>
      </c>
      <c r="M7" s="385"/>
      <c r="N7" s="4" t="s">
        <v>235</v>
      </c>
      <c r="O7" s="383" t="s">
        <v>248</v>
      </c>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K7" s="7"/>
      <c r="BL7" s="12"/>
      <c r="BM7" s="12"/>
      <c r="BN7" s="12"/>
      <c r="BR7" s="7"/>
      <c r="BU7" s="86" t="s">
        <v>59</v>
      </c>
      <c r="BW7" s="1" t="s">
        <v>155</v>
      </c>
    </row>
    <row r="8" spans="1:75" ht="24.75" customHeight="1">
      <c r="A8" s="18"/>
      <c r="B8" s="18"/>
      <c r="D8" s="411" t="s">
        <v>111</v>
      </c>
      <c r="E8" s="412"/>
      <c r="F8" s="69">
        <f>$F$7/$I$7/2</f>
        <v>416.75</v>
      </c>
      <c r="G8" s="415" t="s">
        <v>69</v>
      </c>
      <c r="H8" s="416"/>
      <c r="I8" s="69">
        <f>$F$7/$I$7</f>
        <v>833.5</v>
      </c>
      <c r="J8" s="4" t="s">
        <v>5</v>
      </c>
      <c r="K8" s="383"/>
      <c r="L8" s="17" t="s">
        <v>60</v>
      </c>
      <c r="M8" s="386" t="s">
        <v>247</v>
      </c>
      <c r="N8" s="17" t="s">
        <v>53</v>
      </c>
      <c r="O8" s="384">
        <v>40</v>
      </c>
      <c r="P8" s="18"/>
      <c r="Q8" s="18"/>
      <c r="R8" s="18"/>
      <c r="S8" s="18"/>
      <c r="T8" s="18"/>
      <c r="U8" s="18"/>
      <c r="V8" s="18"/>
      <c r="W8" s="18"/>
      <c r="X8" s="18"/>
      <c r="Y8" s="18" t="s">
        <v>315</v>
      </c>
      <c r="Z8" s="18"/>
      <c r="AA8" s="18"/>
      <c r="AB8" s="18"/>
      <c r="AC8" s="18"/>
      <c r="AD8" s="18"/>
      <c r="AE8" s="18"/>
      <c r="AF8" s="18"/>
      <c r="AG8" s="18"/>
      <c r="AH8" s="18"/>
      <c r="AI8" s="18"/>
      <c r="AJ8" s="18"/>
      <c r="AK8" s="18"/>
      <c r="AL8" s="18"/>
      <c r="AM8" s="18" t="s">
        <v>317</v>
      </c>
      <c r="AN8" s="18"/>
      <c r="AO8" s="18"/>
      <c r="AP8" s="18"/>
      <c r="AQ8" s="18"/>
      <c r="AR8" s="18"/>
      <c r="AS8" s="18"/>
      <c r="AT8" s="18"/>
      <c r="AU8" s="18"/>
      <c r="AV8" s="18"/>
      <c r="AW8" s="18"/>
      <c r="AX8" s="18"/>
      <c r="AY8" s="18"/>
      <c r="AZ8" s="18"/>
      <c r="BA8" s="18"/>
      <c r="BB8" s="18"/>
      <c r="BC8" s="18"/>
      <c r="BD8" t="s">
        <v>8</v>
      </c>
      <c r="BE8" t="s">
        <v>9</v>
      </c>
      <c r="BJ8" s="7"/>
      <c r="BK8" s="7" t="s">
        <v>89</v>
      </c>
      <c r="BL8" s="12">
        <f>BM6</f>
        <v>416.75</v>
      </c>
      <c r="BM8" s="12">
        <f>BL8+F8</f>
        <v>833.5</v>
      </c>
      <c r="BN8" s="12">
        <f>ABS(BM8-BL8)</f>
        <v>416.75</v>
      </c>
      <c r="BO8" s="7"/>
      <c r="BP8" s="12">
        <f>O14</f>
        <v>173.8814015686512</v>
      </c>
      <c r="BQ8" s="12">
        <f>BP8+BL8</f>
        <v>590.6314015686512</v>
      </c>
      <c r="BR8" s="7" t="s">
        <v>89</v>
      </c>
      <c r="BU8" s="86" t="s">
        <v>257</v>
      </c>
      <c r="BW8" s="1" t="s">
        <v>156</v>
      </c>
    </row>
    <row r="9" spans="1:75" ht="24.75" customHeight="1">
      <c r="A9" s="18"/>
      <c r="B9" s="18"/>
      <c r="D9" s="273"/>
      <c r="E9" s="273"/>
      <c r="F9" s="396" t="s">
        <v>274</v>
      </c>
      <c r="G9" s="397"/>
      <c r="H9" s="398"/>
      <c r="I9" s="278"/>
      <c r="J9" s="84"/>
      <c r="K9" s="231" t="s">
        <v>305</v>
      </c>
      <c r="L9" s="387">
        <v>12</v>
      </c>
      <c r="M9" s="274"/>
      <c r="N9" s="21"/>
      <c r="O9" s="275"/>
      <c r="P9" s="18"/>
      <c r="Q9" s="18"/>
      <c r="R9" s="18"/>
      <c r="S9" s="18"/>
      <c r="T9" s="18"/>
      <c r="U9" s="18"/>
      <c r="AF9" s="313"/>
      <c r="AG9" s="319"/>
      <c r="AH9" s="319"/>
      <c r="AI9" s="319"/>
      <c r="AJ9" s="319"/>
      <c r="AK9" s="319"/>
      <c r="AL9" s="319"/>
      <c r="AM9" s="319"/>
      <c r="AN9" s="319"/>
      <c r="AO9" s="319"/>
      <c r="AP9" s="319"/>
      <c r="AQ9" s="319"/>
      <c r="AR9" s="319"/>
      <c r="AS9" s="319"/>
      <c r="AT9" s="319"/>
      <c r="AU9" s="319"/>
      <c r="AV9" s="319"/>
      <c r="AW9" s="319"/>
      <c r="AX9" s="313"/>
      <c r="AY9" s="313"/>
      <c r="AZ9" s="313"/>
      <c r="BA9" s="313"/>
      <c r="BB9" s="18"/>
      <c r="BC9" s="18"/>
      <c r="BJ9" s="7"/>
      <c r="BK9" s="7"/>
      <c r="BL9" s="12"/>
      <c r="BM9" s="12"/>
      <c r="BN9" s="12"/>
      <c r="BO9" s="7"/>
      <c r="BP9" s="12"/>
      <c r="BQ9" s="12"/>
      <c r="BR9" s="7"/>
      <c r="BU9" s="86"/>
      <c r="BW9" s="1"/>
    </row>
    <row r="10" spans="1:75" ht="12" customHeight="1">
      <c r="A10" s="18"/>
      <c r="B10" s="18"/>
      <c r="D10" s="18"/>
      <c r="E10" s="18"/>
      <c r="F10" s="18"/>
      <c r="G10" s="18"/>
      <c r="H10" s="18"/>
      <c r="I10" s="18"/>
      <c r="J10" s="18"/>
      <c r="K10" s="18"/>
      <c r="L10" s="18"/>
      <c r="M10" s="18"/>
      <c r="N10" s="18"/>
      <c r="O10" s="18"/>
      <c r="P10" s="18"/>
      <c r="Q10" s="18"/>
      <c r="R10" s="18"/>
      <c r="S10" s="18"/>
      <c r="T10" s="18"/>
      <c r="U10" s="18"/>
      <c r="V10" s="316"/>
      <c r="W10" s="316" t="s">
        <v>308</v>
      </c>
      <c r="X10" s="316" t="s">
        <v>308</v>
      </c>
      <c r="Y10" s="316" t="s">
        <v>310</v>
      </c>
      <c r="Z10" s="316" t="s">
        <v>312</v>
      </c>
      <c r="AA10" s="317" t="s">
        <v>312</v>
      </c>
      <c r="AB10" s="317" t="s">
        <v>37</v>
      </c>
      <c r="AC10" s="316" t="s">
        <v>37</v>
      </c>
      <c r="AD10" s="316" t="s">
        <v>37</v>
      </c>
      <c r="AE10" s="84"/>
      <c r="AF10" s="60"/>
      <c r="AG10" s="60"/>
      <c r="AH10" s="60"/>
      <c r="AI10" s="60"/>
      <c r="AJ10" s="60"/>
      <c r="AK10" s="60"/>
      <c r="AL10" s="60"/>
      <c r="AM10" s="60"/>
      <c r="AN10" s="60"/>
      <c r="AO10" s="60"/>
      <c r="AP10" s="60"/>
      <c r="AQ10" s="60"/>
      <c r="AR10" s="60"/>
      <c r="AS10" s="60"/>
      <c r="AT10" s="60"/>
      <c r="AU10" s="60"/>
      <c r="AV10" s="60"/>
      <c r="AW10" s="60"/>
      <c r="AX10" s="60"/>
      <c r="AY10" s="60"/>
      <c r="AZ10" s="60"/>
      <c r="BA10" s="60"/>
      <c r="BB10" s="18"/>
      <c r="BC10" s="18"/>
      <c r="BD10">
        <v>0.1</v>
      </c>
      <c r="BE10">
        <v>0</v>
      </c>
      <c r="BJ10" s="7"/>
      <c r="BK10" s="7"/>
      <c r="BL10" s="12"/>
      <c r="BM10" s="12"/>
      <c r="BN10" s="12"/>
      <c r="BR10" s="7"/>
      <c r="BU10" s="86" t="s">
        <v>64</v>
      </c>
      <c r="BW10" s="1" t="s">
        <v>157</v>
      </c>
    </row>
    <row r="11" spans="1:76" ht="15" customHeight="1">
      <c r="A11" s="18"/>
      <c r="B11" s="18"/>
      <c r="D11" s="18"/>
      <c r="E11" s="18"/>
      <c r="F11" s="18"/>
      <c r="G11" s="18"/>
      <c r="H11" s="31"/>
      <c r="I11" s="202"/>
      <c r="J11" s="32"/>
      <c r="K11" s="33" t="s">
        <v>75</v>
      </c>
      <c r="L11" s="33" t="s">
        <v>34</v>
      </c>
      <c r="M11" s="13" t="s">
        <v>76</v>
      </c>
      <c r="N11" s="13" t="s">
        <v>112</v>
      </c>
      <c r="O11" s="13" t="s">
        <v>37</v>
      </c>
      <c r="P11" s="13" t="s">
        <v>37</v>
      </c>
      <c r="Q11" s="13" t="s">
        <v>76</v>
      </c>
      <c r="R11" s="13" t="s">
        <v>42</v>
      </c>
      <c r="S11" s="13" t="s">
        <v>126</v>
      </c>
      <c r="T11" s="53"/>
      <c r="U11" s="313"/>
      <c r="V11" s="316"/>
      <c r="W11" s="316" t="s">
        <v>37</v>
      </c>
      <c r="X11" s="316" t="s">
        <v>37</v>
      </c>
      <c r="Y11" s="316" t="s">
        <v>311</v>
      </c>
      <c r="Z11" s="316" t="s">
        <v>37</v>
      </c>
      <c r="AA11" s="317" t="s">
        <v>37</v>
      </c>
      <c r="AB11" s="317" t="s">
        <v>126</v>
      </c>
      <c r="AC11" s="316" t="s">
        <v>126</v>
      </c>
      <c r="AD11" s="316" t="s">
        <v>310</v>
      </c>
      <c r="AE11" s="84"/>
      <c r="AF11" s="60"/>
      <c r="AG11" s="65" t="s">
        <v>285</v>
      </c>
      <c r="AH11" s="65" t="s">
        <v>287</v>
      </c>
      <c r="AP11" s="65"/>
      <c r="AV11" s="65"/>
      <c r="AY11" s="60"/>
      <c r="AZ11" s="60"/>
      <c r="BA11" s="60"/>
      <c r="BB11" s="313"/>
      <c r="BC11" s="313"/>
      <c r="BD11" s="18"/>
      <c r="BE11">
        <v>1</v>
      </c>
      <c r="BF11">
        <v>1</v>
      </c>
      <c r="BK11" s="7"/>
      <c r="BL11" s="7" t="s">
        <v>113</v>
      </c>
      <c r="BM11" s="12">
        <f>IF($I$7&lt;2,"",BM8)</f>
        <v>833.5</v>
      </c>
      <c r="BN11" s="12">
        <f>IF(BM11="","",BM11+$F$8)</f>
        <v>1250.25</v>
      </c>
      <c r="BO11" s="12">
        <f>IF(BM11="","",ABS(BN11-BM11))</f>
        <v>416.75</v>
      </c>
      <c r="BP11" s="7"/>
      <c r="BQ11" s="12">
        <f>O16</f>
        <v>142.7212882488966</v>
      </c>
      <c r="BR11" s="12">
        <f>IF(BM11="","",BQ11+BM11)</f>
        <v>976.2212882488966</v>
      </c>
      <c r="BS11" s="7" t="s">
        <v>113</v>
      </c>
      <c r="BV11" s="86" t="s">
        <v>258</v>
      </c>
      <c r="BW11"/>
      <c r="BX11" s="1" t="s">
        <v>158</v>
      </c>
    </row>
    <row r="12" spans="1:76" ht="15" customHeight="1">
      <c r="A12" s="18"/>
      <c r="B12" s="18"/>
      <c r="D12" s="435" t="s">
        <v>114</v>
      </c>
      <c r="E12" s="436"/>
      <c r="F12" s="64"/>
      <c r="G12" s="64"/>
      <c r="H12" s="205" t="s">
        <v>13</v>
      </c>
      <c r="I12" s="295"/>
      <c r="J12" s="204" t="s">
        <v>10</v>
      </c>
      <c r="K12" s="36"/>
      <c r="L12" s="37" t="s">
        <v>82</v>
      </c>
      <c r="M12" s="38" t="s">
        <v>83</v>
      </c>
      <c r="N12" s="38" t="s">
        <v>37</v>
      </c>
      <c r="O12" s="38" t="s">
        <v>77</v>
      </c>
      <c r="P12" s="38" t="s">
        <v>82</v>
      </c>
      <c r="Q12" s="38" t="s">
        <v>83</v>
      </c>
      <c r="R12" s="38" t="s">
        <v>85</v>
      </c>
      <c r="S12" s="38"/>
      <c r="T12" s="53"/>
      <c r="U12" s="313"/>
      <c r="V12" s="316" t="s">
        <v>307</v>
      </c>
      <c r="W12" s="317" t="s">
        <v>302</v>
      </c>
      <c r="X12" s="316" t="s">
        <v>309</v>
      </c>
      <c r="Y12" s="316"/>
      <c r="Z12" s="316" t="s">
        <v>302</v>
      </c>
      <c r="AA12" s="317" t="s">
        <v>126</v>
      </c>
      <c r="AB12" s="317" t="s">
        <v>302</v>
      </c>
      <c r="AC12" s="316" t="s">
        <v>313</v>
      </c>
      <c r="AD12" s="316" t="s">
        <v>314</v>
      </c>
      <c r="AE12" s="84"/>
      <c r="AF12" s="60"/>
      <c r="AG12" s="65" t="s">
        <v>286</v>
      </c>
      <c r="AH12" s="65" t="s">
        <v>288</v>
      </c>
      <c r="AJ12" s="286" t="s">
        <v>284</v>
      </c>
      <c r="AK12" s="286" t="s">
        <v>291</v>
      </c>
      <c r="AL12" s="286" t="s">
        <v>292</v>
      </c>
      <c r="AM12" s="287" t="s">
        <v>293</v>
      </c>
      <c r="AN12" s="287" t="s">
        <v>294</v>
      </c>
      <c r="AO12" s="287" t="s">
        <v>295</v>
      </c>
      <c r="AP12" s="287"/>
      <c r="AT12" s="287" t="s">
        <v>316</v>
      </c>
      <c r="AU12" t="s">
        <v>302</v>
      </c>
      <c r="AV12" s="65" t="s">
        <v>303</v>
      </c>
      <c r="AW12" t="s">
        <v>303</v>
      </c>
      <c r="AY12" s="60"/>
      <c r="AZ12" s="60"/>
      <c r="BA12" s="60"/>
      <c r="BB12" s="313"/>
      <c r="BC12" s="313"/>
      <c r="BD12" s="18"/>
      <c r="BE12">
        <v>601</v>
      </c>
      <c r="BF12">
        <v>2</v>
      </c>
      <c r="BK12" s="7"/>
      <c r="BL12" s="7"/>
      <c r="BM12" s="12"/>
      <c r="BN12" s="12"/>
      <c r="BS12" s="7"/>
      <c r="BV12" s="86" t="s">
        <v>68</v>
      </c>
      <c r="BW12"/>
      <c r="BX12" s="1" t="s">
        <v>159</v>
      </c>
    </row>
    <row r="13" spans="1:80" ht="15" customHeight="1">
      <c r="A13" s="18"/>
      <c r="B13" s="18"/>
      <c r="D13" s="23" t="s">
        <v>115</v>
      </c>
      <c r="E13" s="23" t="s">
        <v>34</v>
      </c>
      <c r="F13" s="53"/>
      <c r="G13" s="53"/>
      <c r="H13" s="40" t="s">
        <v>34</v>
      </c>
      <c r="I13" s="296" t="str">
        <f>IF(J13="","","Mat Core")</f>
        <v>Mat Core</v>
      </c>
      <c r="J13" s="13">
        <f>H14+0.1</f>
        <v>1.1</v>
      </c>
      <c r="K13" s="156" t="str">
        <f>Y13</f>
        <v>1.1 (test comp.)</v>
      </c>
      <c r="L13" s="120"/>
      <c r="M13" s="168">
        <f>'random numbers'!B1</f>
        <v>0.3037824034690857</v>
      </c>
      <c r="N13" s="47">
        <f>$L$14/2</f>
        <v>416.75</v>
      </c>
      <c r="O13" s="70">
        <f>M13*N13</f>
        <v>126.60131664574146</v>
      </c>
      <c r="P13" s="71">
        <f>BJ21</f>
        <v>126.60131664574146</v>
      </c>
      <c r="Q13" s="168">
        <f>'random numbers'!B80</f>
        <v>0.2997920513153076</v>
      </c>
      <c r="R13" s="71">
        <f>$L$9</f>
        <v>12</v>
      </c>
      <c r="S13" s="322">
        <f>AD13</f>
        <v>3.797712564468384</v>
      </c>
      <c r="T13" s="60"/>
      <c r="U13" s="60"/>
      <c r="V13" s="7">
        <f>J13</f>
        <v>1.1</v>
      </c>
      <c r="W13" s="314">
        <f>'random numbers'!B149</f>
        <v>0.3001090884208679</v>
      </c>
      <c r="X13" s="7" t="str">
        <f>IF(W13&lt;0.5,"Y","N")</f>
        <v>Y</v>
      </c>
      <c r="Y13" s="7" t="str">
        <f>IF(X13="Y",CONCATENATE(V13," (test comp.)"),V13)</f>
        <v>1.1 (test comp.)</v>
      </c>
      <c r="Z13" s="314">
        <f>'random numbers'!B181</f>
        <v>0.692727267742157</v>
      </c>
      <c r="AA13" s="302">
        <f>IF(Z13&lt;0.5,(($L$9/2)-2),(($L$9/2)+2))</f>
        <v>8</v>
      </c>
      <c r="AB13" s="304">
        <f>Q13</f>
        <v>0.2997920513153076</v>
      </c>
      <c r="AC13" s="303">
        <f>(($L$9-1)*AB13)+0.5</f>
        <v>3.797712564468384</v>
      </c>
      <c r="AD13" s="303">
        <f>IF(P15=P13,AA13,AC13)</f>
        <v>3.797712564468384</v>
      </c>
      <c r="AE13" s="7"/>
      <c r="AF13" s="60"/>
      <c r="AG13" s="65" t="s">
        <v>289</v>
      </c>
      <c r="AH13" s="65">
        <f>IF($I$7&gt;5.5,2,1)</f>
        <v>2</v>
      </c>
      <c r="AJ13" s="286">
        <v>1</v>
      </c>
      <c r="AK13" s="286">
        <v>0</v>
      </c>
      <c r="AL13" s="286">
        <f>'random numbers'!$B$50</f>
        <v>0.9620345830917358</v>
      </c>
      <c r="AM13" s="287">
        <f aca="true" t="shared" si="0" ref="AM13:AM18">IF(AL13&lt;0.5,0.1,0.2)</f>
        <v>0.2</v>
      </c>
      <c r="AN13" s="287"/>
      <c r="AO13" s="287">
        <f>H14+AM13</f>
        <v>1.2</v>
      </c>
      <c r="AP13" s="287">
        <f aca="true" t="shared" si="1" ref="AP13:AP18">IF(AK13,CONCATENATE(AO13," LJD"),"")</f>
      </c>
      <c r="AQ13" t="str">
        <f>IF('random numbers'!$B$60&gt;0.5,"L","R")</f>
        <v>R</v>
      </c>
      <c r="AR13">
        <f aca="true" t="shared" si="2" ref="AR13:AR18">IF(AK13=1,CONCATENATE(INT(AO13)+0.3,"L"),"")</f>
      </c>
      <c r="AS13">
        <f aca="true" t="shared" si="3" ref="AS13:AS18">IF(AK13=1,CONCATENATE(INT(AO13)+0.4,"R"),"")</f>
      </c>
      <c r="AT13">
        <f aca="true" t="shared" si="4" ref="AT13:AT18">IF(AK13=1,CONCATENATE(INT(AO13)+0.3,"L","  ",INT(AO13)+0.4,"R","  ","test comp to  ",CONCATENATE(INT(AO13),AW13)),"")</f>
      </c>
      <c r="AU13" s="292">
        <f>'random numbers'!$B$30</f>
        <v>0.3719702959060669</v>
      </c>
      <c r="AV13" s="293" t="str">
        <f aca="true" t="shared" si="5" ref="AV13:AV18">IF(AU13&lt;0.5,".3",".4")</f>
        <v>.3</v>
      </c>
      <c r="AW13" s="293" t="str">
        <f aca="true" t="shared" si="6" ref="AW13:AW18">IF(AV13=".3",CONCATENATE(AV13,"L"),CONCATENATE(AV13,"R"))</f>
        <v>.3L</v>
      </c>
      <c r="AY13" s="60"/>
      <c r="AZ13" s="60"/>
      <c r="BA13" s="60"/>
      <c r="BB13" s="60"/>
      <c r="BC13" s="18"/>
      <c r="BD13" s="18"/>
      <c r="BE13">
        <v>1001</v>
      </c>
      <c r="BF13">
        <v>3</v>
      </c>
      <c r="BK13" s="7"/>
      <c r="BL13" s="7" t="s">
        <v>6</v>
      </c>
      <c r="BM13" s="12">
        <f>IF($I$7&lt;2,"",BN11)</f>
        <v>1250.25</v>
      </c>
      <c r="BN13" s="12">
        <f>IF(BM13="","",BM13+$F$8)</f>
        <v>1667</v>
      </c>
      <c r="BO13" s="12">
        <f>IF(BM13="","",ABS(BN13-BM13))</f>
        <v>416.75</v>
      </c>
      <c r="BP13" s="7"/>
      <c r="BQ13" s="12">
        <f>O17</f>
        <v>236.2016282081604</v>
      </c>
      <c r="BR13" s="12">
        <f>IF(BM13="","",BQ13+BM13)</f>
        <v>1486.4516282081604</v>
      </c>
      <c r="BS13" s="7" t="s">
        <v>6</v>
      </c>
      <c r="BV13" s="86" t="s">
        <v>260</v>
      </c>
      <c r="BW13"/>
      <c r="BX13" s="1" t="s">
        <v>160</v>
      </c>
      <c r="CB13" s="168"/>
    </row>
    <row r="14" spans="1:80" ht="15" customHeight="1">
      <c r="A14" s="18"/>
      <c r="B14" s="18"/>
      <c r="D14" s="23" t="s">
        <v>116</v>
      </c>
      <c r="E14" s="23">
        <v>1</v>
      </c>
      <c r="F14" s="53"/>
      <c r="G14" s="53"/>
      <c r="H14" s="280">
        <v>1</v>
      </c>
      <c r="I14" s="320" t="str">
        <f>IF(J14="","","Mat Core")</f>
        <v>Mat Core</v>
      </c>
      <c r="J14" s="23">
        <f>H14+0.2</f>
        <v>1.2</v>
      </c>
      <c r="K14" s="156">
        <f>Y14</f>
        <v>1.2</v>
      </c>
      <c r="L14" s="309">
        <f>$I$8</f>
        <v>833.5</v>
      </c>
      <c r="M14" s="301">
        <f>'random numbers'!B2</f>
        <v>0.4172319173812866</v>
      </c>
      <c r="N14" s="47">
        <f>$L$14/2</f>
        <v>416.75</v>
      </c>
      <c r="O14" s="74">
        <f>M14*N14</f>
        <v>173.8814015686512</v>
      </c>
      <c r="P14" s="71">
        <f>BJ22</f>
        <v>590.6314015686512</v>
      </c>
      <c r="Q14" s="168">
        <f>'random numbers'!B81</f>
        <v>0.19038766622543335</v>
      </c>
      <c r="R14" s="71">
        <f>$L$9</f>
        <v>12</v>
      </c>
      <c r="S14" s="322">
        <f>AD14</f>
        <v>2.594264328479767</v>
      </c>
      <c r="T14" s="60"/>
      <c r="U14" s="60"/>
      <c r="V14" s="7">
        <f>J14</f>
        <v>1.2</v>
      </c>
      <c r="W14" s="20"/>
      <c r="X14" s="7" t="str">
        <f>IF(W13&gt;0.5,"Y","N")</f>
        <v>N</v>
      </c>
      <c r="Y14" s="7">
        <f>IF(X14="Y",CONCATENATE(V14," (test comp.)"),V14)</f>
        <v>1.2</v>
      </c>
      <c r="Z14" s="7"/>
      <c r="AA14" s="302"/>
      <c r="AB14" s="304">
        <f>Q14</f>
        <v>0.19038766622543335</v>
      </c>
      <c r="AC14" s="303">
        <f>(($L$9-1)*AB14)+0.5</f>
        <v>2.594264328479767</v>
      </c>
      <c r="AD14" s="303">
        <f>IF(P14=P15,AA13,AC14)</f>
        <v>2.594264328479767</v>
      </c>
      <c r="AE14" s="7"/>
      <c r="AF14" s="60"/>
      <c r="AG14" s="65">
        <f>+ROUND(('random numbers'!$B$170)*$I$7+0.5,0)</f>
        <v>2</v>
      </c>
      <c r="AH14" s="65"/>
      <c r="AJ14" s="286">
        <v>2</v>
      </c>
      <c r="AK14" s="286">
        <v>0</v>
      </c>
      <c r="AL14" s="286">
        <f>'random numbers'!$B$51</f>
        <v>0.20366007089614868</v>
      </c>
      <c r="AM14" s="287">
        <f t="shared" si="0"/>
        <v>0.1</v>
      </c>
      <c r="AN14" s="287"/>
      <c r="AO14" s="287">
        <f>H17+AM14</f>
        <v>2.1</v>
      </c>
      <c r="AP14" s="287">
        <f t="shared" si="1"/>
      </c>
      <c r="AQ14" t="str">
        <f>IF('random numbers'!$B$61&gt;0.5,"L","R")</f>
        <v>L</v>
      </c>
      <c r="AR14">
        <f t="shared" si="2"/>
      </c>
      <c r="AS14">
        <f t="shared" si="3"/>
      </c>
      <c r="AT14">
        <f t="shared" si="4"/>
      </c>
      <c r="AU14" s="292">
        <f>'random numbers'!$B$31</f>
        <v>0.4426944851875305</v>
      </c>
      <c r="AV14" s="293" t="str">
        <f t="shared" si="5"/>
        <v>.3</v>
      </c>
      <c r="AW14" s="293" t="str">
        <f t="shared" si="6"/>
        <v>.3L</v>
      </c>
      <c r="AY14" s="60"/>
      <c r="AZ14" s="60"/>
      <c r="BA14" s="60"/>
      <c r="BB14" s="60"/>
      <c r="BC14" s="18"/>
      <c r="BD14" s="18"/>
      <c r="BE14">
        <v>1601</v>
      </c>
      <c r="BF14">
        <v>4</v>
      </c>
      <c r="BK14" s="7"/>
      <c r="BL14" s="7"/>
      <c r="BM14" s="12"/>
      <c r="BN14" s="12"/>
      <c r="BS14" s="7"/>
      <c r="BV14" s="86" t="s">
        <v>73</v>
      </c>
      <c r="BW14"/>
      <c r="BX14" s="1" t="s">
        <v>161</v>
      </c>
      <c r="CB14" s="168"/>
    </row>
    <row r="15" spans="1:80" ht="15" customHeight="1">
      <c r="A15" s="18"/>
      <c r="B15" s="18"/>
      <c r="D15" s="23" t="s">
        <v>117</v>
      </c>
      <c r="E15" s="23">
        <v>2</v>
      </c>
      <c r="F15" s="53"/>
      <c r="G15" s="53"/>
      <c r="H15" s="297"/>
      <c r="I15" s="321">
        <f>IF(J15="","","LJD Core")</f>
      </c>
      <c r="J15" s="432">
        <f>AT13</f>
      </c>
      <c r="K15" s="433"/>
      <c r="L15" s="309"/>
      <c r="M15" s="44"/>
      <c r="N15" s="298"/>
      <c r="O15" s="299"/>
      <c r="P15" s="71">
        <f>IF(J15="","",IF('random numbers'!$B$90&lt;0.5,P13,P14))</f>
      </c>
      <c r="Q15" s="300">
        <f>IF(P15="","","Core 0.5 from Left Edge and 0.5 from Right Edge")</f>
      </c>
      <c r="R15" s="72"/>
      <c r="S15" s="323"/>
      <c r="T15" s="60"/>
      <c r="U15" s="60"/>
      <c r="V15" s="7"/>
      <c r="W15" s="20"/>
      <c r="X15" s="7"/>
      <c r="Y15" s="7"/>
      <c r="Z15" s="7"/>
      <c r="AA15" s="302"/>
      <c r="AB15" s="304"/>
      <c r="AC15" s="303"/>
      <c r="AD15" s="303"/>
      <c r="AE15" s="7"/>
      <c r="AF15" s="60"/>
      <c r="AG15" s="65" t="s">
        <v>290</v>
      </c>
      <c r="AH15" s="65"/>
      <c r="AJ15" s="286">
        <v>3</v>
      </c>
      <c r="AK15" s="286">
        <v>0</v>
      </c>
      <c r="AL15" s="286">
        <f>'random numbers'!$B$52</f>
        <v>0.47878360748291016</v>
      </c>
      <c r="AM15" s="287">
        <f t="shared" si="0"/>
        <v>0.1</v>
      </c>
      <c r="AN15" s="287"/>
      <c r="AO15" s="287">
        <f>H20+AM15</f>
        <v>3.1</v>
      </c>
      <c r="AP15" s="287">
        <f t="shared" si="1"/>
      </c>
      <c r="AQ15" t="str">
        <f>IF('random numbers'!$B$62&gt;0.5,"L","R")</f>
        <v>L</v>
      </c>
      <c r="AR15">
        <f t="shared" si="2"/>
      </c>
      <c r="AS15">
        <f t="shared" si="3"/>
      </c>
      <c r="AT15">
        <f t="shared" si="4"/>
      </c>
      <c r="AU15" s="292">
        <f>'random numbers'!$B$32</f>
        <v>0.49610114097595215</v>
      </c>
      <c r="AV15" s="293" t="str">
        <f t="shared" si="5"/>
        <v>.3</v>
      </c>
      <c r="AW15" s="293" t="str">
        <f t="shared" si="6"/>
        <v>.3L</v>
      </c>
      <c r="AY15" s="60"/>
      <c r="AZ15" s="60"/>
      <c r="BA15" s="60"/>
      <c r="BB15" s="60"/>
      <c r="BC15" s="18"/>
      <c r="BD15" s="18"/>
      <c r="BE15">
        <v>3601</v>
      </c>
      <c r="BF15">
        <v>5</v>
      </c>
      <c r="BL15" s="7" t="s">
        <v>91</v>
      </c>
      <c r="BM15" s="12">
        <f>IF($I$7&lt;3,"",BN13)</f>
        <v>1667</v>
      </c>
      <c r="BN15" s="12">
        <f>IF(BM15="","",BM15+$F$8)</f>
        <v>2083.75</v>
      </c>
      <c r="BO15" s="12">
        <f>IF(BM15="","",ABS(BN15-BM15))</f>
        <v>416.75</v>
      </c>
      <c r="BP15" s="7"/>
      <c r="BQ15" s="12">
        <f>O19</f>
        <v>372.510608330369</v>
      </c>
      <c r="BR15" s="12">
        <f>IF(BM15="","",BQ15+BM15)</f>
        <v>2039.510608330369</v>
      </c>
      <c r="BS15" s="7" t="s">
        <v>91</v>
      </c>
      <c r="BV15" s="86" t="s">
        <v>261</v>
      </c>
      <c r="BW15"/>
      <c r="BX15" s="1" t="s">
        <v>162</v>
      </c>
      <c r="CB15" s="168"/>
    </row>
    <row r="16" spans="1:80" ht="15" customHeight="1">
      <c r="A16" s="18"/>
      <c r="B16" s="18"/>
      <c r="D16" s="23" t="s">
        <v>118</v>
      </c>
      <c r="E16" s="23">
        <v>3</v>
      </c>
      <c r="F16" s="53"/>
      <c r="G16" s="53"/>
      <c r="H16" s="40" t="s">
        <v>34</v>
      </c>
      <c r="I16" s="296" t="str">
        <f>IF(J16="","","Mat Core")</f>
        <v>Mat Core</v>
      </c>
      <c r="J16" s="48">
        <f>IF(H17=" "," ",H17+0.1)</f>
        <v>2.1</v>
      </c>
      <c r="K16" s="156" t="str">
        <f>Y16</f>
        <v>2.1 (test comp.)</v>
      </c>
      <c r="L16" s="120"/>
      <c r="M16" s="168">
        <f>'random numbers'!B3</f>
        <v>0.34246259927749634</v>
      </c>
      <c r="N16" s="47">
        <f>IF(L17="","",L17/2)</f>
        <v>416.75</v>
      </c>
      <c r="O16" s="70">
        <f>IF(N16="","",M16*N16)</f>
        <v>142.7212882488966</v>
      </c>
      <c r="P16" s="71">
        <f>BJ23</f>
        <v>976.2212882488966</v>
      </c>
      <c r="Q16" s="168">
        <f>'random numbers'!B82</f>
        <v>0.9874423742294312</v>
      </c>
      <c r="R16" s="71">
        <f>$L$9</f>
        <v>12</v>
      </c>
      <c r="S16" s="322">
        <f>AD16</f>
        <v>11.361866116523743</v>
      </c>
      <c r="T16" s="60"/>
      <c r="U16" s="60"/>
      <c r="V16" s="7">
        <f>J16</f>
        <v>2.1</v>
      </c>
      <c r="W16" s="314">
        <f>'random numbers'!B150</f>
        <v>0.26806509494781494</v>
      </c>
      <c r="X16" s="7" t="str">
        <f>IF(W16&lt;0.5,"Y","N")</f>
        <v>Y</v>
      </c>
      <c r="Y16" s="7" t="str">
        <f>IF(X16="Y",CONCATENATE(V16," (test comp.)"),V16)</f>
        <v>2.1 (test comp.)</v>
      </c>
      <c r="Z16" s="314">
        <f>'random numbers'!B182</f>
        <v>0.29347288608551025</v>
      </c>
      <c r="AA16" s="302">
        <f>IF(Z16&lt;0.5,(($L$9/2)-2),(($L$9/2)+2))</f>
        <v>4</v>
      </c>
      <c r="AB16" s="304">
        <f>Q16</f>
        <v>0.9874423742294312</v>
      </c>
      <c r="AC16" s="303">
        <f>(($L$9-1)*AB16)+0.5</f>
        <v>11.361866116523743</v>
      </c>
      <c r="AD16" s="303">
        <f>IF(P18=P16,AA16,AC16)</f>
        <v>11.361866116523743</v>
      </c>
      <c r="AE16" s="7"/>
      <c r="AF16" s="60"/>
      <c r="AG16" s="65">
        <f>+ROUND(('random numbers'!$B$171)*$I$7+0.5,0)</f>
        <v>3</v>
      </c>
      <c r="AH16" s="65"/>
      <c r="AJ16" s="286">
        <v>4</v>
      </c>
      <c r="AK16" s="286">
        <v>0</v>
      </c>
      <c r="AL16" s="286">
        <f>'random numbers'!$B$53</f>
        <v>0.12225455045700073</v>
      </c>
      <c r="AM16" s="287">
        <f t="shared" si="0"/>
        <v>0.1</v>
      </c>
      <c r="AN16" s="287"/>
      <c r="AO16" s="287">
        <f>H23+AM16</f>
        <v>4.1</v>
      </c>
      <c r="AP16" s="287">
        <f t="shared" si="1"/>
      </c>
      <c r="AQ16" t="str">
        <f>IF('random numbers'!$B$63&gt;0.5,"L","R")</f>
        <v>R</v>
      </c>
      <c r="AR16">
        <f t="shared" si="2"/>
      </c>
      <c r="AS16">
        <f t="shared" si="3"/>
      </c>
      <c r="AT16">
        <f t="shared" si="4"/>
      </c>
      <c r="AU16" s="292">
        <f>'random numbers'!$B$33</f>
        <v>0.33588117361068726</v>
      </c>
      <c r="AV16" s="293" t="str">
        <f t="shared" si="5"/>
        <v>.3</v>
      </c>
      <c r="AW16" s="293" t="str">
        <f t="shared" si="6"/>
        <v>.3L</v>
      </c>
      <c r="AY16" s="60"/>
      <c r="AZ16" s="60"/>
      <c r="BA16" s="60"/>
      <c r="BB16" s="60"/>
      <c r="BC16" s="18"/>
      <c r="BD16" s="18"/>
      <c r="BE16">
        <v>5001</v>
      </c>
      <c r="BF16">
        <v>6</v>
      </c>
      <c r="BL16" s="7"/>
      <c r="BM16" s="12"/>
      <c r="BN16" s="12"/>
      <c r="BS16" s="7"/>
      <c r="BV16" s="255" t="s">
        <v>259</v>
      </c>
      <c r="BW16"/>
      <c r="BX16" s="1" t="s">
        <v>163</v>
      </c>
      <c r="CB16" s="168"/>
    </row>
    <row r="17" spans="1:80" ht="15" customHeight="1">
      <c r="A17" s="18"/>
      <c r="B17" s="18"/>
      <c r="D17" s="23" t="s">
        <v>119</v>
      </c>
      <c r="E17" s="23">
        <v>4</v>
      </c>
      <c r="F17" s="53"/>
      <c r="G17" s="53"/>
      <c r="H17" s="281">
        <f>IF($I$7&gt;B23,H14+1," ")</f>
        <v>2</v>
      </c>
      <c r="I17" s="320" t="str">
        <f>IF(J17="","","Mat Core")</f>
        <v>Mat Core</v>
      </c>
      <c r="J17" s="13">
        <f>IF(H17=" "," ",H17+0.2)</f>
        <v>2.2</v>
      </c>
      <c r="K17" s="156">
        <f>Y17</f>
        <v>2.2</v>
      </c>
      <c r="L17" s="309">
        <f>IF($I$7&gt;1,$I$8,"")</f>
        <v>833.5</v>
      </c>
      <c r="M17" s="44">
        <f>'random numbers'!B4</f>
        <v>0.5667705535888672</v>
      </c>
      <c r="N17" s="47">
        <f>IF(L17="","",L17/2)</f>
        <v>416.75</v>
      </c>
      <c r="O17" s="70">
        <f>IF(N16="","",M17*N17)</f>
        <v>236.2016282081604</v>
      </c>
      <c r="P17" s="71">
        <f>BJ24</f>
        <v>1486.4516282081604</v>
      </c>
      <c r="Q17" s="168">
        <f>'random numbers'!B83</f>
        <v>0.5962782502174377</v>
      </c>
      <c r="R17" s="71">
        <f>$L$9</f>
        <v>12</v>
      </c>
      <c r="S17" s="322">
        <f>AD17</f>
        <v>7.059060752391815</v>
      </c>
      <c r="T17" s="60"/>
      <c r="U17" s="60"/>
      <c r="V17" s="7">
        <f>J17</f>
        <v>2.2</v>
      </c>
      <c r="W17" s="20"/>
      <c r="X17" s="7" t="str">
        <f>IF(W16&gt;0.5,"Y","N")</f>
        <v>N</v>
      </c>
      <c r="Y17" s="7">
        <f>IF(X17="Y",CONCATENATE(V17," (test comp.)"),V17)</f>
        <v>2.2</v>
      </c>
      <c r="Z17" s="7"/>
      <c r="AA17" s="302"/>
      <c r="AB17" s="304">
        <f>Q17</f>
        <v>0.5962782502174377</v>
      </c>
      <c r="AC17" s="303">
        <f>(($L$9-1)*AB17)+0.5</f>
        <v>7.059060752391815</v>
      </c>
      <c r="AD17" s="303">
        <f>IF(P17=P18,AA16,AC17)</f>
        <v>7.059060752391815</v>
      </c>
      <c r="AE17" s="7"/>
      <c r="AF17" s="60"/>
      <c r="AG17" s="65">
        <f>IF(AG14=AG16,AG16+1,AG16)</f>
        <v>3</v>
      </c>
      <c r="AH17" s="65"/>
      <c r="AJ17" s="286">
        <v>5</v>
      </c>
      <c r="AK17" s="286">
        <v>0</v>
      </c>
      <c r="AL17" s="286">
        <f>'random numbers'!$B$54</f>
        <v>0.4574209451675415</v>
      </c>
      <c r="AM17" s="287">
        <f t="shared" si="0"/>
        <v>0.1</v>
      </c>
      <c r="AN17" s="287"/>
      <c r="AO17" s="287">
        <f>H26+AM17</f>
        <v>5.1</v>
      </c>
      <c r="AP17" s="287">
        <f t="shared" si="1"/>
      </c>
      <c r="AQ17" t="str">
        <f>IF('random numbers'!$B$64&gt;0.5,"L","R")</f>
        <v>L</v>
      </c>
      <c r="AR17">
        <f t="shared" si="2"/>
      </c>
      <c r="AS17">
        <f t="shared" si="3"/>
      </c>
      <c r="AT17">
        <f t="shared" si="4"/>
      </c>
      <c r="AU17" s="292">
        <f>'random numbers'!$B$34</f>
        <v>0.8165410757064819</v>
      </c>
      <c r="AV17" s="293" t="str">
        <f t="shared" si="5"/>
        <v>.4</v>
      </c>
      <c r="AW17" s="293" t="str">
        <f t="shared" si="6"/>
        <v>.4R</v>
      </c>
      <c r="AY17" s="60"/>
      <c r="AZ17" s="60"/>
      <c r="BA17" s="60"/>
      <c r="BB17" s="60"/>
      <c r="BC17" s="18"/>
      <c r="BD17" s="18"/>
      <c r="BL17" s="7" t="s">
        <v>92</v>
      </c>
      <c r="BM17" s="12">
        <f>IF($I$7&lt;3,"",BN15)</f>
        <v>2083.75</v>
      </c>
      <c r="BN17" s="12">
        <f>IF(BM17="","",BM17+$F$8)</f>
        <v>2500.5</v>
      </c>
      <c r="BO17" s="12">
        <f>IF(BM17="","",ABS(BN17-BM17))</f>
        <v>416.75</v>
      </c>
      <c r="BP17" s="7"/>
      <c r="BQ17" s="12">
        <f>O20</f>
        <v>380.3336679637432</v>
      </c>
      <c r="BR17" s="12">
        <f>IF(BM17="","",BQ17+BM17)</f>
        <v>2464.083667963743</v>
      </c>
      <c r="BS17" s="7" t="s">
        <v>92</v>
      </c>
      <c r="BV17" s="255" t="s">
        <v>262</v>
      </c>
      <c r="BW17"/>
      <c r="BX17" s="1" t="s">
        <v>164</v>
      </c>
      <c r="CB17" s="168"/>
    </row>
    <row r="18" spans="1:80" ht="15" customHeight="1">
      <c r="A18" s="18"/>
      <c r="B18" s="18"/>
      <c r="D18" s="23" t="s">
        <v>120</v>
      </c>
      <c r="E18" s="23">
        <v>5</v>
      </c>
      <c r="F18" s="53"/>
      <c r="G18" s="53"/>
      <c r="H18" s="45"/>
      <c r="I18" s="321">
        <f>IF(J18="","","LJD Core")</f>
      </c>
      <c r="J18" s="432">
        <f>AT14</f>
      </c>
      <c r="K18" s="433"/>
      <c r="L18" s="310"/>
      <c r="M18" s="168"/>
      <c r="N18" s="47"/>
      <c r="O18" s="70"/>
      <c r="P18" s="71">
        <f>IF(J18="","",IF('random numbers'!$B$91&lt;0.5,P16,P17))</f>
      </c>
      <c r="Q18" s="300">
        <f>IF(P18="","","Core 0.5 from Left Edge and 0.5 from Right Edge")</f>
      </c>
      <c r="R18" s="71"/>
      <c r="S18" s="322"/>
      <c r="T18" s="60"/>
      <c r="U18" s="60"/>
      <c r="V18" s="7"/>
      <c r="W18" s="20"/>
      <c r="X18" s="7"/>
      <c r="Y18" s="7"/>
      <c r="Z18" s="7"/>
      <c r="AA18" s="302"/>
      <c r="AB18" s="304"/>
      <c r="AC18" s="303"/>
      <c r="AD18" s="303"/>
      <c r="AE18" s="7"/>
      <c r="AF18" s="60"/>
      <c r="AG18" s="65">
        <f>IF(AG17&gt;$I$7,1,AG17)</f>
        <v>3</v>
      </c>
      <c r="AH18" s="65"/>
      <c r="AJ18" s="286">
        <v>6</v>
      </c>
      <c r="AK18" s="286">
        <v>0</v>
      </c>
      <c r="AL18" s="286">
        <f>'random numbers'!$B$55</f>
        <v>0.1863425374031067</v>
      </c>
      <c r="AM18" s="287">
        <f t="shared" si="0"/>
        <v>0.1</v>
      </c>
      <c r="AN18" s="287"/>
      <c r="AO18" s="287">
        <f>H29+AM18</f>
        <v>6.1</v>
      </c>
      <c r="AP18" s="287">
        <f t="shared" si="1"/>
      </c>
      <c r="AQ18" t="str">
        <f>IF('random numbers'!$B$65&gt;0.5,"L","R")</f>
        <v>L</v>
      </c>
      <c r="AR18">
        <f t="shared" si="2"/>
      </c>
      <c r="AS18">
        <f t="shared" si="3"/>
      </c>
      <c r="AT18">
        <f t="shared" si="4"/>
      </c>
      <c r="AU18" s="292">
        <f>'random numbers'!$B$35</f>
        <v>0.3745613694190979</v>
      </c>
      <c r="AV18" s="293" t="str">
        <f t="shared" si="5"/>
        <v>.3</v>
      </c>
      <c r="AW18" s="293" t="str">
        <f t="shared" si="6"/>
        <v>.3L</v>
      </c>
      <c r="AY18" s="60"/>
      <c r="AZ18" s="60"/>
      <c r="BA18" s="60"/>
      <c r="BB18" s="60"/>
      <c r="BC18" s="18"/>
      <c r="BD18" s="18"/>
      <c r="BL18" s="7"/>
      <c r="BM18" s="12"/>
      <c r="BN18" s="12"/>
      <c r="BS18" s="7"/>
      <c r="BW18"/>
      <c r="BX18" s="1" t="s">
        <v>165</v>
      </c>
      <c r="CB18" s="168"/>
    </row>
    <row r="19" spans="1:76" ht="15" customHeight="1">
      <c r="A19" s="18"/>
      <c r="B19" s="18"/>
      <c r="D19" s="23" t="s">
        <v>121</v>
      </c>
      <c r="E19" s="23">
        <v>6</v>
      </c>
      <c r="F19" s="53"/>
      <c r="G19" s="53"/>
      <c r="H19" s="40" t="s">
        <v>34</v>
      </c>
      <c r="I19" s="296" t="str">
        <f>IF(J19="","","Mat Core")</f>
        <v>Mat Core</v>
      </c>
      <c r="J19" s="13">
        <f>IF(H20=" "," ",H20+0.1)</f>
        <v>3.1</v>
      </c>
      <c r="K19" s="156" t="str">
        <f>Y19</f>
        <v>3.1 (test comp.)</v>
      </c>
      <c r="L19" s="120"/>
      <c r="M19" s="168">
        <f>'random numbers'!B5</f>
        <v>0.8938466906547546</v>
      </c>
      <c r="N19" s="47">
        <f>IF(L20="","",L20/2)</f>
        <v>416.75</v>
      </c>
      <c r="O19" s="70">
        <f>IF(N19="","",M19*N19)</f>
        <v>372.510608330369</v>
      </c>
      <c r="P19" s="71">
        <f>BJ25</f>
        <v>2039.510608330369</v>
      </c>
      <c r="Q19" s="168">
        <f>'random numbers'!B84</f>
        <v>0.769770622253418</v>
      </c>
      <c r="R19" s="71">
        <f>$L$9</f>
        <v>12</v>
      </c>
      <c r="S19" s="322">
        <f>AD19</f>
        <v>8.967476844787598</v>
      </c>
      <c r="T19" s="60"/>
      <c r="U19" s="60"/>
      <c r="V19" s="7">
        <f>J19</f>
        <v>3.1</v>
      </c>
      <c r="W19" s="314">
        <f>'random numbers'!B151</f>
        <v>0.3641970753669739</v>
      </c>
      <c r="X19" s="7" t="str">
        <f>IF(W19&lt;0.5,"Y","N")</f>
        <v>Y</v>
      </c>
      <c r="Y19" s="7" t="str">
        <f>IF(X19="Y",CONCATENATE(V19," (test comp.)"),V19)</f>
        <v>3.1 (test comp.)</v>
      </c>
      <c r="Z19" s="314">
        <f>'random numbers'!B183</f>
        <v>0.7568152546882629</v>
      </c>
      <c r="AA19" s="302">
        <f>IF(Z19&lt;0.5,(($L$9/2)-2),(($L$9/2)+2))</f>
        <v>8</v>
      </c>
      <c r="AB19" s="304">
        <f>Q19</f>
        <v>0.769770622253418</v>
      </c>
      <c r="AC19" s="303">
        <f>(($L$9-1)*AB19)+0.5</f>
        <v>8.967476844787598</v>
      </c>
      <c r="AD19" s="303">
        <f>IF(P21=P19,AA19,AC19)</f>
        <v>8.967476844787598</v>
      </c>
      <c r="AE19" s="7"/>
      <c r="AF19" s="60"/>
      <c r="AG19" s="65"/>
      <c r="AH19" s="65"/>
      <c r="AP19" s="65"/>
      <c r="AV19" s="65"/>
      <c r="AY19" s="60"/>
      <c r="AZ19" s="60"/>
      <c r="BA19" s="60"/>
      <c r="BB19" s="60"/>
      <c r="BC19" s="18"/>
      <c r="BD19" s="18"/>
      <c r="BL19" s="7" t="s">
        <v>93</v>
      </c>
      <c r="BM19" s="12">
        <f>IF($I$7&lt;4,"",BN17)</f>
        <v>2500.5</v>
      </c>
      <c r="BN19" s="12">
        <f>IF(BM19="","",BM19+$F$8)</f>
        <v>2917.25</v>
      </c>
      <c r="BO19" s="12">
        <f>IF(BM19="","",ABS(BN19-BM19))</f>
        <v>416.75</v>
      </c>
      <c r="BP19" s="7"/>
      <c r="BQ19" s="12">
        <f>O22</f>
        <v>135.50420616567135</v>
      </c>
      <c r="BR19" s="12">
        <f>IF(BM19="","",BQ19+BM19)</f>
        <v>2636.0042061656713</v>
      </c>
      <c r="BS19" s="7" t="s">
        <v>93</v>
      </c>
      <c r="BW19"/>
      <c r="BX19" s="1" t="s">
        <v>166</v>
      </c>
    </row>
    <row r="20" spans="1:76" ht="15" customHeight="1">
      <c r="A20" s="18"/>
      <c r="B20" s="18"/>
      <c r="D20" s="99" t="s">
        <v>122</v>
      </c>
      <c r="E20" s="18"/>
      <c r="F20" s="18"/>
      <c r="G20" s="18"/>
      <c r="H20" s="281">
        <f>IF($I$7&gt;B35,H17+1," ")</f>
        <v>3</v>
      </c>
      <c r="I20" s="320" t="str">
        <f>IF(J20="","","Mat Core")</f>
        <v>Mat Core</v>
      </c>
      <c r="J20" s="13">
        <f>IF(H20=" "," ",H20+0.2)</f>
        <v>3.2</v>
      </c>
      <c r="K20" s="156">
        <f>Y20</f>
        <v>3.2</v>
      </c>
      <c r="L20" s="309">
        <f>IF($I$7&gt;2,$I$8,"")</f>
        <v>833.5</v>
      </c>
      <c r="M20" s="44">
        <f>'random numbers'!B6</f>
        <v>0.9126182794570923</v>
      </c>
      <c r="N20" s="47">
        <f>IF(L20="","",L20/2)</f>
        <v>416.75</v>
      </c>
      <c r="O20" s="70">
        <f>IF(N19="","",M20*N20)</f>
        <v>380.3336679637432</v>
      </c>
      <c r="P20" s="71">
        <f>BJ26</f>
        <v>2464.083667963743</v>
      </c>
      <c r="Q20" s="168">
        <f>'random numbers'!B85</f>
        <v>0.7804519534111023</v>
      </c>
      <c r="R20" s="71">
        <f>$L$9</f>
        <v>12</v>
      </c>
      <c r="S20" s="322">
        <f>AD20</f>
        <v>9.084971487522125</v>
      </c>
      <c r="T20" s="60"/>
      <c r="U20" s="60"/>
      <c r="V20" s="7">
        <f>J20</f>
        <v>3.2</v>
      </c>
      <c r="W20" s="20"/>
      <c r="X20" s="7" t="str">
        <f>IF(W19&gt;0.5,"Y","N")</f>
        <v>N</v>
      </c>
      <c r="Y20" s="7">
        <f>IF(X20="Y",CONCATENATE(V20," (test comp.)"),V20)</f>
        <v>3.2</v>
      </c>
      <c r="Z20" s="7"/>
      <c r="AA20" s="302"/>
      <c r="AB20" s="304">
        <f>Q20</f>
        <v>0.7804519534111023</v>
      </c>
      <c r="AC20" s="303">
        <f>(($L$9-1)*AB20)+0.5</f>
        <v>9.084971487522125</v>
      </c>
      <c r="AD20" s="303">
        <f>IF(P20=P21,AA19,AC20)</f>
        <v>9.084971487522125</v>
      </c>
      <c r="AE20" s="7"/>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18"/>
      <c r="BD20" s="18"/>
      <c r="BI20" s="7" t="s">
        <v>37</v>
      </c>
      <c r="BJ20" s="7" t="s">
        <v>82</v>
      </c>
      <c r="BK20" s="20"/>
      <c r="BL20" s="7"/>
      <c r="BN20" s="12"/>
      <c r="BS20" s="7"/>
      <c r="BW20"/>
      <c r="BX20" s="1" t="s">
        <v>167</v>
      </c>
    </row>
    <row r="21" spans="1:76" ht="15" customHeight="1">
      <c r="A21" s="18"/>
      <c r="B21" s="111" t="s">
        <v>87</v>
      </c>
      <c r="D21" s="99" t="s">
        <v>123</v>
      </c>
      <c r="E21" s="111"/>
      <c r="F21" s="111"/>
      <c r="G21" s="111"/>
      <c r="H21" s="45"/>
      <c r="I21" s="321">
        <f>IF(J21="","","LJD Core")</f>
      </c>
      <c r="J21" s="432">
        <f>AT15</f>
      </c>
      <c r="K21" s="433"/>
      <c r="L21" s="310"/>
      <c r="M21" s="168"/>
      <c r="N21" s="47"/>
      <c r="O21" s="70"/>
      <c r="P21" s="71">
        <f>IF(J21="","",IF('random numbers'!$B$92&lt;0.5,P19,P20))</f>
      </c>
      <c r="Q21" s="300">
        <f>IF(P21="","","Core 0.5 from Left Edge and 0.5 from Right Edge")</f>
      </c>
      <c r="R21" s="71"/>
      <c r="S21" s="322"/>
      <c r="T21" s="60"/>
      <c r="U21" s="60"/>
      <c r="V21" s="7"/>
      <c r="W21" s="20"/>
      <c r="X21" s="7"/>
      <c r="Y21" s="7"/>
      <c r="Z21" s="7"/>
      <c r="AA21" s="302"/>
      <c r="AB21" s="304"/>
      <c r="AC21" s="303"/>
      <c r="AD21" s="303"/>
      <c r="AE21" s="7"/>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18"/>
      <c r="BD21" s="18"/>
      <c r="BI21" s="7" t="s">
        <v>88</v>
      </c>
      <c r="BJ21" s="66">
        <f>BQ6</f>
        <v>126.60131664574146</v>
      </c>
      <c r="BK21" s="73"/>
      <c r="BL21" s="7" t="s">
        <v>94</v>
      </c>
      <c r="BM21" s="12">
        <f>IF($I$7&lt;4,"",BN19)</f>
        <v>2917.25</v>
      </c>
      <c r="BN21" s="12">
        <f>IF(BM21="","",BM21+$F$8)</f>
        <v>3334</v>
      </c>
      <c r="BO21" s="12">
        <f>IF(BM21="","",ABS(BN21-BM21))</f>
        <v>416.75</v>
      </c>
      <c r="BQ21" s="12">
        <f>O23</f>
        <v>147.17273300886154</v>
      </c>
      <c r="BR21" s="12">
        <f>IF(BM21="","",BQ21+BM21)</f>
        <v>3064.4227330088615</v>
      </c>
      <c r="BS21" s="7" t="s">
        <v>94</v>
      </c>
      <c r="BW21"/>
      <c r="BX21" s="1" t="s">
        <v>168</v>
      </c>
    </row>
    <row r="22" spans="1:76" ht="15" customHeight="1">
      <c r="A22" s="18"/>
      <c r="B22" s="111">
        <v>1</v>
      </c>
      <c r="C22" s="257" t="s">
        <v>98</v>
      </c>
      <c r="D22" s="258"/>
      <c r="E22" s="258"/>
      <c r="F22" s="259"/>
      <c r="G22" s="111"/>
      <c r="H22" s="40" t="s">
        <v>34</v>
      </c>
      <c r="I22" s="296" t="str">
        <f>IF(J22="","","Mat Core")</f>
        <v>Mat Core</v>
      </c>
      <c r="J22" s="13">
        <f>IF(H23=" "," ",H23+0.1)</f>
        <v>4.1</v>
      </c>
      <c r="K22" s="156">
        <f>Y22</f>
        <v>4.1</v>
      </c>
      <c r="L22" s="120"/>
      <c r="M22" s="168">
        <f>'random numbers'!B7</f>
        <v>0.32514506578445435</v>
      </c>
      <c r="N22" s="47">
        <f>IF(L23="","",L23/2)</f>
        <v>416.75</v>
      </c>
      <c r="O22" s="70">
        <f>IF(N22="","",M22*N22)</f>
        <v>135.50420616567135</v>
      </c>
      <c r="P22" s="71">
        <f>BJ29</f>
        <v>2636.0042061656713</v>
      </c>
      <c r="Q22" s="168">
        <f>'random numbers'!B86</f>
        <v>0.9516702890396118</v>
      </c>
      <c r="R22" s="71">
        <f>$L$9</f>
        <v>12</v>
      </c>
      <c r="S22" s="322">
        <f>AD22</f>
        <v>10.96837317943573</v>
      </c>
      <c r="T22" s="60"/>
      <c r="U22" s="60"/>
      <c r="V22" s="7">
        <f>J22</f>
        <v>4.1</v>
      </c>
      <c r="W22" s="314">
        <f>'random numbers'!B152</f>
        <v>0.8102219104766846</v>
      </c>
      <c r="X22" s="7" t="str">
        <f>IF(W22&lt;0.5,"Y","N")</f>
        <v>N</v>
      </c>
      <c r="Y22" s="7">
        <f>IF(X22="Y",CONCATENATE(V22," (test comp.)"),V22)</f>
        <v>4.1</v>
      </c>
      <c r="Z22" s="314">
        <f>'random numbers'!B184</f>
        <v>0.10120892524719238</v>
      </c>
      <c r="AA22" s="302">
        <f>IF(Z22&lt;0.5,(($L$9/2)-2),(($L$9/2)+2))</f>
        <v>4</v>
      </c>
      <c r="AB22" s="304">
        <f>Q22</f>
        <v>0.9516702890396118</v>
      </c>
      <c r="AC22" s="303">
        <f>(($L$9-1)*AB22)+0.5</f>
        <v>10.96837317943573</v>
      </c>
      <c r="AD22" s="303">
        <f>IF(O24=O22,AA22,AC22)</f>
        <v>10.96837317943573</v>
      </c>
      <c r="AE22" s="7"/>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18"/>
      <c r="BD22" s="18"/>
      <c r="BI22" s="7" t="s">
        <v>89</v>
      </c>
      <c r="BJ22" s="66">
        <f>BQ8</f>
        <v>590.6314015686512</v>
      </c>
      <c r="BK22" s="73"/>
      <c r="BL22" s="7"/>
      <c r="BM22" s="12"/>
      <c r="BN22" s="12"/>
      <c r="BS22" s="7"/>
      <c r="BW22"/>
      <c r="BX22" s="1" t="s">
        <v>169</v>
      </c>
    </row>
    <row r="23" spans="1:76" ht="15" customHeight="1">
      <c r="A23" s="18"/>
      <c r="B23" s="111">
        <f>B22</f>
        <v>1</v>
      </c>
      <c r="C23" s="399"/>
      <c r="D23" s="400"/>
      <c r="E23" s="400"/>
      <c r="F23" s="401"/>
      <c r="G23" s="111"/>
      <c r="H23" s="281">
        <f>IF($I$7&gt;B41,H20+1," ")</f>
        <v>4</v>
      </c>
      <c r="I23" s="320" t="str">
        <f>IF(J23="","","Mat Core")</f>
        <v>Mat Core</v>
      </c>
      <c r="J23" s="13">
        <f>IF(H23=" "," ",H23+0.2)</f>
        <v>4.2</v>
      </c>
      <c r="K23" s="156" t="str">
        <f>Y23</f>
        <v>4.2 (test comp.)</v>
      </c>
      <c r="L23" s="309">
        <f>IF($I$7&gt;3,$I$8,"")</f>
        <v>833.5</v>
      </c>
      <c r="M23" s="44">
        <f>'random numbers'!B8</f>
        <v>0.35314393043518066</v>
      </c>
      <c r="N23" s="47">
        <f>IF(L23="","",L23/2)</f>
        <v>416.75</v>
      </c>
      <c r="O23" s="70">
        <f>IF(N22="","",M23*N23)</f>
        <v>147.17273300886154</v>
      </c>
      <c r="P23" s="71">
        <f>BI30</f>
        <v>3064.4227330088615</v>
      </c>
      <c r="Q23" s="168">
        <f>'random numbers'!B87</f>
        <v>0.04780226945877075</v>
      </c>
      <c r="R23" s="71">
        <f>$L$9</f>
        <v>12</v>
      </c>
      <c r="S23" s="322">
        <f>AD23</f>
        <v>1.0258249640464783</v>
      </c>
      <c r="T23" s="60"/>
      <c r="U23" s="60"/>
      <c r="V23" s="7">
        <f>J23</f>
        <v>4.2</v>
      </c>
      <c r="W23" s="20"/>
      <c r="X23" s="7" t="str">
        <f>IF(W22&gt;0.5,"Y","N")</f>
        <v>Y</v>
      </c>
      <c r="Y23" s="7" t="str">
        <f>IF(X23="Y",CONCATENATE(V23," (test comp.)"),V23)</f>
        <v>4.2 (test comp.)</v>
      </c>
      <c r="Z23" s="7"/>
      <c r="AA23" s="302"/>
      <c r="AB23" s="304">
        <f>Q23</f>
        <v>0.04780226945877075</v>
      </c>
      <c r="AC23" s="303">
        <f>(($L$9-1)*AB23)+0.5</f>
        <v>1.0258249640464783</v>
      </c>
      <c r="AD23" s="303">
        <f>IF(O23=O24,AA22,AC23)</f>
        <v>1.0258249640464783</v>
      </c>
      <c r="AE23" s="7"/>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18"/>
      <c r="BD23" s="18"/>
      <c r="BI23" s="7" t="s">
        <v>90</v>
      </c>
      <c r="BJ23" s="66">
        <f>BR11</f>
        <v>976.2212882488966</v>
      </c>
      <c r="BK23" s="73"/>
      <c r="BL23" s="7" t="s">
        <v>7</v>
      </c>
      <c r="BM23" s="12">
        <f>IF($I$7&lt;5,"",BN21)</f>
        <v>3334</v>
      </c>
      <c r="BN23" s="12">
        <f>IF(BM23="","",BM23+$F$8)</f>
        <v>3750.75</v>
      </c>
      <c r="BO23" s="12">
        <f>IF(BM23="","",ABS(BN23-BM23))</f>
        <v>416.75</v>
      </c>
      <c r="BQ23" s="12">
        <f>O25</f>
        <v>248.817859724164</v>
      </c>
      <c r="BR23" s="12">
        <f>IF(BM23="","",BQ23+BM23)</f>
        <v>3582.817859724164</v>
      </c>
      <c r="BS23" s="7" t="s">
        <v>7</v>
      </c>
      <c r="BW23"/>
      <c r="BX23" s="1" t="s">
        <v>170</v>
      </c>
    </row>
    <row r="24" spans="1:76" ht="15" customHeight="1">
      <c r="A24" s="18"/>
      <c r="B24" s="18"/>
      <c r="C24" s="389"/>
      <c r="D24" s="400"/>
      <c r="E24" s="400"/>
      <c r="F24" s="401"/>
      <c r="G24" s="18"/>
      <c r="H24" s="45"/>
      <c r="I24" s="321">
        <f>IF(J24="","","LJD Core")</f>
      </c>
      <c r="J24" s="432">
        <f>AT16</f>
      </c>
      <c r="K24" s="433"/>
      <c r="L24" s="310"/>
      <c r="M24" s="168"/>
      <c r="N24" s="47"/>
      <c r="O24" s="70"/>
      <c r="P24" s="71">
        <f>IF(J24="","",IF('random numbers'!$B$93&lt;0.5,P22,P23))</f>
      </c>
      <c r="Q24" s="300">
        <f>IF(P24="","","Core 0.5 from Left Edge and 0.5 from Right Edge")</f>
      </c>
      <c r="R24" s="72"/>
      <c r="S24" s="322"/>
      <c r="T24" s="60"/>
      <c r="U24" s="60"/>
      <c r="V24" s="7"/>
      <c r="W24" s="20"/>
      <c r="X24" s="7"/>
      <c r="Y24" s="7"/>
      <c r="Z24" s="7"/>
      <c r="AA24" s="302"/>
      <c r="AB24" s="304"/>
      <c r="AC24" s="303"/>
      <c r="AD24" s="303"/>
      <c r="AE24" s="7"/>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18"/>
      <c r="BD24" s="18"/>
      <c r="BI24" s="7" t="s">
        <v>6</v>
      </c>
      <c r="BJ24" s="66">
        <f>BR13</f>
        <v>1486.4516282081604</v>
      </c>
      <c r="BK24" s="73"/>
      <c r="BL24" s="7" t="s">
        <v>124</v>
      </c>
      <c r="BM24" s="12"/>
      <c r="BN24" s="12"/>
      <c r="BS24" s="7" t="s">
        <v>124</v>
      </c>
      <c r="BW24"/>
      <c r="BX24" s="1" t="s">
        <v>171</v>
      </c>
    </row>
    <row r="25" spans="1:76" ht="12" customHeight="1">
      <c r="A25" s="18"/>
      <c r="B25" s="111">
        <f>IF($G$7&gt;B23,B23+1," ")</f>
        <v>2</v>
      </c>
      <c r="C25" s="390"/>
      <c r="D25" s="391"/>
      <c r="E25" s="391"/>
      <c r="F25" s="392"/>
      <c r="G25" s="18"/>
      <c r="H25" s="40" t="s">
        <v>34</v>
      </c>
      <c r="I25" s="296" t="str">
        <f>IF(J25="","","Mat Core")</f>
        <v>Mat Core</v>
      </c>
      <c r="J25" s="13">
        <f>IF(H26=" "," ",H26+0.1)</f>
        <v>5.1</v>
      </c>
      <c r="K25" s="156">
        <f>Y25</f>
        <v>5.1</v>
      </c>
      <c r="L25" s="120"/>
      <c r="M25" s="168">
        <f>'random numbers'!B9</f>
        <v>0.5970434546470642</v>
      </c>
      <c r="N25" s="47">
        <f>IF(L26="","",L26/2)</f>
        <v>416.75</v>
      </c>
      <c r="O25" s="70">
        <f>IF(N25="","",M25*N25)</f>
        <v>248.817859724164</v>
      </c>
      <c r="P25" s="71">
        <f>BI32</f>
        <v>3582.817859724164</v>
      </c>
      <c r="Q25" s="168">
        <f>'random numbers'!B88</f>
        <v>0.759406328201294</v>
      </c>
      <c r="R25" s="71">
        <f>$L$9</f>
        <v>12</v>
      </c>
      <c r="S25" s="322">
        <f>AD25</f>
        <v>8.853469610214233</v>
      </c>
      <c r="T25" s="60"/>
      <c r="U25" s="60"/>
      <c r="V25" s="7">
        <f>J25</f>
        <v>5.1</v>
      </c>
      <c r="W25" s="315">
        <f>'random numbers'!B153</f>
        <v>0.9409889578819275</v>
      </c>
      <c r="X25" s="7" t="str">
        <f>IF(W25&lt;0.5,"Y","N")</f>
        <v>N</v>
      </c>
      <c r="Y25" s="7">
        <f>IF(X25="Y",CONCATENATE(V25," (test comp.)"),V25)</f>
        <v>5.1</v>
      </c>
      <c r="Z25" s="314">
        <f>'random numbers'!B185</f>
        <v>0.599186360836029</v>
      </c>
      <c r="AA25" s="302">
        <f>IF(Z25&lt;0.5,(($L$9/2)-2),(($L$9/2)+2))</f>
        <v>8</v>
      </c>
      <c r="AB25" s="304">
        <f>Q25</f>
        <v>0.759406328201294</v>
      </c>
      <c r="AC25" s="303">
        <f>(($L$9-1)*AB25)+0.5</f>
        <v>8.853469610214233</v>
      </c>
      <c r="AD25" s="303">
        <f>IF(O27=O25,AA25,AC25)</f>
        <v>8.853469610214233</v>
      </c>
      <c r="AE25" s="7"/>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18"/>
      <c r="BD25" s="18"/>
      <c r="BI25" s="7" t="s">
        <v>91</v>
      </c>
      <c r="BJ25" s="66">
        <f>BR15</f>
        <v>2039.510608330369</v>
      </c>
      <c r="BK25" s="73"/>
      <c r="BL25" s="7" t="s">
        <v>95</v>
      </c>
      <c r="BM25" s="12">
        <f>IF($I$7&lt;5,"",BN23)</f>
        <v>3750.75</v>
      </c>
      <c r="BN25" s="12">
        <f>IF(BM25="","",BM25+$F$8)</f>
        <v>4167.5</v>
      </c>
      <c r="BO25" s="12">
        <f>IF(BM25="","",ABS(BN25-BM25))</f>
        <v>416.75</v>
      </c>
      <c r="BQ25" s="12">
        <f>O26</f>
        <v>21.79417696595192</v>
      </c>
      <c r="BR25" s="12">
        <f>IF(BM25="","",BQ25+BM25)</f>
        <v>3772.544176965952</v>
      </c>
      <c r="BS25" s="7" t="s">
        <v>95</v>
      </c>
      <c r="BW25"/>
      <c r="BX25" s="1" t="s">
        <v>172</v>
      </c>
    </row>
    <row r="26" spans="8:76" ht="15" customHeight="1">
      <c r="H26" s="281">
        <f>IF($I$7&gt;B44,H23+1," ")</f>
        <v>5</v>
      </c>
      <c r="I26" s="320" t="str">
        <f>IF(J26="","","Mat Core")</f>
        <v>Mat Core</v>
      </c>
      <c r="J26" s="13">
        <f>IF(H26=" "," ",H26+0.2)</f>
        <v>5.2</v>
      </c>
      <c r="K26" s="156" t="str">
        <f>Y26</f>
        <v>5.2 (test comp.)</v>
      </c>
      <c r="L26" s="309">
        <f>IF($I$7&gt;4,$I$8,"")</f>
        <v>833.5</v>
      </c>
      <c r="M26" s="44">
        <f>'random numbers'!B10</f>
        <v>0.052295565605163574</v>
      </c>
      <c r="N26" s="47">
        <f>IF(L26="","",L26/2)</f>
        <v>416.75</v>
      </c>
      <c r="O26" s="70">
        <f>IF(N25="","",M26*N26)</f>
        <v>21.79417696595192</v>
      </c>
      <c r="P26" s="71">
        <f>BI33</f>
        <v>3772.544176965952</v>
      </c>
      <c r="Q26" s="168">
        <f>'random numbers'!B89</f>
        <v>0.6245941519737244</v>
      </c>
      <c r="R26" s="71">
        <f>$L$9</f>
        <v>12</v>
      </c>
      <c r="S26" s="322">
        <f>AD26</f>
        <v>7.370535671710968</v>
      </c>
      <c r="T26" s="60"/>
      <c r="U26" s="60"/>
      <c r="V26" s="7">
        <f>J26</f>
        <v>5.2</v>
      </c>
      <c r="W26" s="20"/>
      <c r="X26" s="7" t="str">
        <f>IF(W25&gt;0.5,"Y","N")</f>
        <v>Y</v>
      </c>
      <c r="Y26" s="7" t="str">
        <f>IF(X26="Y",CONCATENATE(V26," (test comp.)"),V26)</f>
        <v>5.2 (test comp.)</v>
      </c>
      <c r="Z26" s="7"/>
      <c r="AA26" s="302"/>
      <c r="AB26" s="304">
        <f>Q26</f>
        <v>0.6245941519737244</v>
      </c>
      <c r="AC26" s="303">
        <f>(($L$9-1)*AB26)+0.5</f>
        <v>7.370535671710968</v>
      </c>
      <c r="AD26" s="303">
        <f>IF(O26=O27,AA25,AC26)</f>
        <v>7.370535671710968</v>
      </c>
      <c r="AE26" s="7"/>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18"/>
      <c r="BD26" s="18"/>
      <c r="BI26" s="7" t="s">
        <v>92</v>
      </c>
      <c r="BJ26" s="66">
        <f>BR17</f>
        <v>2464.083667963743</v>
      </c>
      <c r="BK26" s="73"/>
      <c r="BL26" s="7"/>
      <c r="BM26" s="12"/>
      <c r="BN26" s="12"/>
      <c r="BS26" s="7"/>
      <c r="BW26"/>
      <c r="BX26" s="1" t="s">
        <v>173</v>
      </c>
    </row>
    <row r="27" spans="8:76" ht="15" customHeight="1">
      <c r="H27" s="45"/>
      <c r="I27" s="321">
        <f>IF(J27="","","LJD Core")</f>
      </c>
      <c r="J27" s="432">
        <f>AT17</f>
      </c>
      <c r="K27" s="433"/>
      <c r="L27" s="310"/>
      <c r="M27" s="168"/>
      <c r="N27" s="47"/>
      <c r="O27" s="70"/>
      <c r="P27" s="71">
        <f>IF(J27="","",IF('random numbers'!$B$94&lt;0.5,P25,P26))</f>
      </c>
      <c r="Q27" s="300">
        <f>IF(P27="","","Core 0.5 from Left Edge and 0.5 from Right Edge")</f>
      </c>
      <c r="R27" s="71"/>
      <c r="S27" s="322"/>
      <c r="T27" s="60"/>
      <c r="U27" s="60"/>
      <c r="V27" s="7"/>
      <c r="W27" s="20"/>
      <c r="X27" s="7"/>
      <c r="Y27" s="7"/>
      <c r="Z27" s="7"/>
      <c r="AA27" s="302"/>
      <c r="AB27" s="304"/>
      <c r="AC27" s="303"/>
      <c r="AD27" s="303"/>
      <c r="AE27" s="7"/>
      <c r="AF27" s="18"/>
      <c r="AG27" s="18"/>
      <c r="AH27" s="18"/>
      <c r="AI27" s="18"/>
      <c r="AJ27" s="18"/>
      <c r="AK27" s="18"/>
      <c r="AL27" s="18"/>
      <c r="AM27" s="18"/>
      <c r="AN27" s="18"/>
      <c r="AO27" s="18"/>
      <c r="AP27" s="18"/>
      <c r="AQ27" s="18"/>
      <c r="AR27" s="18"/>
      <c r="AS27" s="18"/>
      <c r="AT27" s="18"/>
      <c r="AU27" s="18"/>
      <c r="AV27" s="18"/>
      <c r="AW27" s="18"/>
      <c r="AX27" s="18"/>
      <c r="AY27" s="18"/>
      <c r="AZ27" s="18"/>
      <c r="BA27" s="18"/>
      <c r="BB27" s="60"/>
      <c r="BC27" s="18"/>
      <c r="BD27" s="18"/>
      <c r="BI27" s="7"/>
      <c r="BJ27" s="66"/>
      <c r="BK27" s="73"/>
      <c r="BL27" s="7"/>
      <c r="BM27" s="12"/>
      <c r="BN27" s="12"/>
      <c r="BS27" s="7"/>
      <c r="BW27"/>
      <c r="BX27" s="1"/>
    </row>
    <row r="28" spans="8:76" ht="15" customHeight="1">
      <c r="H28" s="40" t="s">
        <v>34</v>
      </c>
      <c r="I28" s="296" t="str">
        <f>IF(J28="","","Mat Core")</f>
        <v>Mat Core</v>
      </c>
      <c r="J28" s="23">
        <f>IF(H29=" "," ",H29+0.1)</f>
        <v>6.1</v>
      </c>
      <c r="K28" s="216" t="str">
        <f>Y28</f>
        <v>6.1 (test comp.)</v>
      </c>
      <c r="L28" s="311"/>
      <c r="M28" s="168">
        <f>'random numbers'!B11</f>
        <v>0.6865392327308655</v>
      </c>
      <c r="N28" s="47">
        <f>IF(L29="","",L29/2)</f>
        <v>416.75</v>
      </c>
      <c r="O28" s="70">
        <f>IF(N28="","",M28*N28)</f>
        <v>286.1152252405882</v>
      </c>
      <c r="P28" s="71">
        <f>BI34</f>
        <v>4453.615225240588</v>
      </c>
      <c r="Q28" s="168">
        <f>'random numbers'!B90</f>
        <v>0.7634514570236206</v>
      </c>
      <c r="R28" s="71">
        <f>$L$9</f>
        <v>12</v>
      </c>
      <c r="S28" s="322">
        <f>AD28</f>
        <v>8.897966027259827</v>
      </c>
      <c r="T28" s="60"/>
      <c r="U28" s="60"/>
      <c r="V28" s="7">
        <f>J28</f>
        <v>6.1</v>
      </c>
      <c r="W28" s="314">
        <f>'random numbers'!B154</f>
        <v>0.07984626293182373</v>
      </c>
      <c r="X28" s="7" t="str">
        <f>IF(W28&lt;0.5,"Y","N")</f>
        <v>Y</v>
      </c>
      <c r="Y28" s="7" t="str">
        <f>IF(X28="Y",CONCATENATE(V28," (test comp.)"),V28)</f>
        <v>6.1 (test comp.)</v>
      </c>
      <c r="Z28" s="314">
        <f>'random numbers'!B186</f>
        <v>0.10525405406951904</v>
      </c>
      <c r="AA28" s="302">
        <f>IF(Z28&lt;0.5,(($L$9/2)-2),(($L$9/2)+2))</f>
        <v>4</v>
      </c>
      <c r="AB28" s="304">
        <f>Q28</f>
        <v>0.7634514570236206</v>
      </c>
      <c r="AC28" s="303">
        <f>(($L$9-1)*AB28)+0.5</f>
        <v>8.897966027259827</v>
      </c>
      <c r="AD28" s="303">
        <f>IF(O30=O28,AA28,AC28)</f>
        <v>8.897966027259827</v>
      </c>
      <c r="AE28" s="7"/>
      <c r="AF28" s="18"/>
      <c r="AG28" s="18"/>
      <c r="AH28" s="18"/>
      <c r="AI28" s="18"/>
      <c r="AJ28" s="18"/>
      <c r="AK28" s="18"/>
      <c r="AL28" s="18"/>
      <c r="AM28" s="18"/>
      <c r="AN28" s="18"/>
      <c r="AO28" s="18"/>
      <c r="AP28" s="18"/>
      <c r="AQ28" s="18"/>
      <c r="AR28" s="18"/>
      <c r="AS28" s="18"/>
      <c r="AT28" s="18"/>
      <c r="AU28" s="18"/>
      <c r="AV28" s="18"/>
      <c r="AW28" s="18"/>
      <c r="AX28" s="18"/>
      <c r="AY28" s="18"/>
      <c r="AZ28" s="18"/>
      <c r="BA28" s="18"/>
      <c r="BB28" s="60"/>
      <c r="BC28" s="18"/>
      <c r="BD28" s="18"/>
      <c r="BI28" s="7"/>
      <c r="BJ28" s="66"/>
      <c r="BK28" s="73"/>
      <c r="BL28" s="7"/>
      <c r="BM28" s="12"/>
      <c r="BN28" s="12"/>
      <c r="BS28" s="7"/>
      <c r="BW28"/>
      <c r="BX28" s="1"/>
    </row>
    <row r="29" spans="8:76" ht="15" customHeight="1">
      <c r="H29" s="281">
        <f>IF($I$7&gt;B47,H26+1," ")</f>
        <v>6</v>
      </c>
      <c r="I29" s="320" t="str">
        <f>IF(J29="","","Mat Core")</f>
        <v>Mat Core</v>
      </c>
      <c r="J29" s="23">
        <f>IF(H29=" "," ",H29+0.2)</f>
        <v>6.2</v>
      </c>
      <c r="K29" s="196">
        <f>Y29</f>
        <v>6.2</v>
      </c>
      <c r="L29" s="312">
        <f>IF($I$7&gt;5,$I$8,"")</f>
        <v>833.5</v>
      </c>
      <c r="M29" s="168">
        <f>'random numbers'!B12</f>
        <v>0.25264978408813477</v>
      </c>
      <c r="N29" s="47">
        <f>IF(L29="","",L29/2)</f>
        <v>416.75</v>
      </c>
      <c r="O29" s="74">
        <f>IF(N28="","",M29*N29)</f>
        <v>105.29179751873016</v>
      </c>
      <c r="P29" s="71">
        <f>BI35</f>
        <v>4689.54179751873</v>
      </c>
      <c r="Q29" s="168">
        <f>'random numbers'!B91</f>
        <v>0.3468795418739319</v>
      </c>
      <c r="R29" s="75">
        <v>12</v>
      </c>
      <c r="S29" s="322">
        <f>AD29</f>
        <v>4.315674960613251</v>
      </c>
      <c r="T29" s="60"/>
      <c r="U29" s="60"/>
      <c r="V29" s="7">
        <f>J29</f>
        <v>6.2</v>
      </c>
      <c r="W29" s="20"/>
      <c r="X29" s="7" t="str">
        <f>IF(W28&gt;0.5,"Y","N")</f>
        <v>N</v>
      </c>
      <c r="Y29" s="7">
        <f>IF(X29="Y",CONCATENATE(V29," (test comp.)"),V29)</f>
        <v>6.2</v>
      </c>
      <c r="Z29" s="7"/>
      <c r="AA29" s="302"/>
      <c r="AB29" s="304">
        <f>Q29</f>
        <v>0.3468795418739319</v>
      </c>
      <c r="AC29" s="303">
        <f>(($L$9-1)*AB29)+0.5</f>
        <v>4.315674960613251</v>
      </c>
      <c r="AD29" s="303">
        <f>IF(O29=O30,AA28,AC29)</f>
        <v>4.315674960613251</v>
      </c>
      <c r="AE29" s="7"/>
      <c r="BB29" s="60"/>
      <c r="BC29" s="18"/>
      <c r="BD29" s="18"/>
      <c r="BI29" s="7" t="s">
        <v>93</v>
      </c>
      <c r="BJ29" s="66">
        <f>BR19</f>
        <v>2636.0042061656713</v>
      </c>
      <c r="BK29" s="73"/>
      <c r="BL29" s="7" t="s">
        <v>96</v>
      </c>
      <c r="BM29" s="12">
        <f>IF($I$7&lt;6,"",BN25)</f>
        <v>4167.5</v>
      </c>
      <c r="BN29" s="12">
        <f>IF(BM29="","",BM29+$F$8)</f>
        <v>4584.25</v>
      </c>
      <c r="BO29" s="12">
        <f>IF(BM29="","",ABS(BN29-BM29))</f>
        <v>416.75</v>
      </c>
      <c r="BQ29" s="12">
        <f>O28</f>
        <v>286.1152252405882</v>
      </c>
      <c r="BR29" s="12">
        <f>IF(BM29="","",BQ29+BM29)</f>
        <v>4453.615225240588</v>
      </c>
      <c r="BS29" s="7" t="s">
        <v>96</v>
      </c>
      <c r="BW29"/>
      <c r="BX29" s="1" t="s">
        <v>174</v>
      </c>
    </row>
    <row r="30" spans="8:75" ht="15" customHeight="1">
      <c r="H30" s="307"/>
      <c r="I30" s="321">
        <f>IF(J30="","","LJD Core")</f>
      </c>
      <c r="J30" s="434">
        <f>AT18</f>
      </c>
      <c r="K30" s="410"/>
      <c r="L30" s="38"/>
      <c r="M30" s="308"/>
      <c r="N30" s="308"/>
      <c r="O30" s="308"/>
      <c r="P30" s="71">
        <f>IF(J30="","",IF('random numbers'!$B$95&lt;0.5,P28,P29))</f>
      </c>
      <c r="Q30" s="300">
        <f>IF(P30="","","Core 0.5 from Left Edge and 0.5 from Right Edge")</f>
      </c>
      <c r="R30" s="308"/>
      <c r="S30" s="23"/>
      <c r="T30" s="18"/>
      <c r="U30" s="18"/>
      <c r="V30" s="7"/>
      <c r="W30" s="7"/>
      <c r="X30" s="7"/>
      <c r="Y30" s="7"/>
      <c r="Z30" s="7"/>
      <c r="AA30" s="7"/>
      <c r="AB30" s="7"/>
      <c r="AC30" s="7"/>
      <c r="AD30" s="7"/>
      <c r="AE30" s="7"/>
      <c r="BB30" s="18"/>
      <c r="BC30" s="18"/>
      <c r="BH30" s="7" t="s">
        <v>94</v>
      </c>
      <c r="BI30" s="66">
        <f>BR21</f>
        <v>3064.4227330088615</v>
      </c>
      <c r="BJ30" s="73"/>
      <c r="BK30" s="7"/>
      <c r="BL30" s="12"/>
      <c r="BM30" s="12"/>
      <c r="BR30" s="7"/>
      <c r="BW30" s="1" t="s">
        <v>175</v>
      </c>
    </row>
    <row r="31" spans="8:75" ht="15" customHeight="1">
      <c r="H31" s="52"/>
      <c r="I31" s="53"/>
      <c r="J31" s="54"/>
      <c r="K31" s="56"/>
      <c r="L31" s="55"/>
      <c r="M31" s="56"/>
      <c r="N31" s="76"/>
      <c r="O31" s="77"/>
      <c r="P31" s="18"/>
      <c r="Q31" s="18"/>
      <c r="R31" s="18"/>
      <c r="S31" s="18"/>
      <c r="T31" s="18"/>
      <c r="U31" s="18"/>
      <c r="BB31" s="18"/>
      <c r="BC31" s="18"/>
      <c r="BH31" s="7"/>
      <c r="BI31" s="66"/>
      <c r="BJ31" s="73"/>
      <c r="BK31" s="7"/>
      <c r="BL31" s="12"/>
      <c r="BM31" s="12"/>
      <c r="BR31" s="7"/>
      <c r="BW31" s="1"/>
    </row>
    <row r="32" spans="4:75" ht="45" customHeight="1">
      <c r="D32" s="240" t="s">
        <v>152</v>
      </c>
      <c r="E32" s="240"/>
      <c r="F32" s="239"/>
      <c r="G32" s="239"/>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H32" s="7" t="s">
        <v>7</v>
      </c>
      <c r="BI32" s="66">
        <f>BR23</f>
        <v>3582.817859724164</v>
      </c>
      <c r="BJ32" s="73"/>
      <c r="BK32" s="7" t="s">
        <v>97</v>
      </c>
      <c r="BL32" s="12">
        <f>IF($I$7&lt;6,"",BN29)</f>
        <v>4584.25</v>
      </c>
      <c r="BM32" s="12">
        <f>IF(BL32="","",BL32+$F$8)</f>
        <v>5001</v>
      </c>
      <c r="BN32" s="12">
        <f>IF(BL32="","",ABS(BM32-BL32))</f>
        <v>416.75</v>
      </c>
      <c r="BP32" s="12">
        <f>O29</f>
        <v>105.29179751873016</v>
      </c>
      <c r="BQ32" s="12">
        <f>IF(BL32="","",BP32+BL32)</f>
        <v>4689.54179751873</v>
      </c>
      <c r="BR32" s="7" t="s">
        <v>97</v>
      </c>
      <c r="BW32" s="1" t="s">
        <v>176</v>
      </c>
    </row>
    <row r="33" spans="4:75" ht="45" customHeight="1" thickBot="1">
      <c r="D33" s="240"/>
      <c r="E33" s="240"/>
      <c r="F33" s="239"/>
      <c r="G33" s="239"/>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H33" s="7" t="s">
        <v>95</v>
      </c>
      <c r="BI33" s="66">
        <f>BR25</f>
        <v>3772.544176965952</v>
      </c>
      <c r="BJ33" s="73"/>
      <c r="BL33" s="12"/>
      <c r="BM33" s="12"/>
      <c r="BR33" s="12"/>
      <c r="BW33" s="1" t="s">
        <v>177</v>
      </c>
    </row>
    <row r="34" spans="3:75" ht="45" customHeight="1" thickBot="1">
      <c r="C34" s="240"/>
      <c r="D34" s="240"/>
      <c r="E34" s="437" t="s">
        <v>318</v>
      </c>
      <c r="F34" s="438"/>
      <c r="G34" s="438"/>
      <c r="H34" s="606"/>
      <c r="I34" s="602"/>
      <c r="J34" s="602"/>
      <c r="K34" s="602"/>
      <c r="L34" s="602"/>
      <c r="M34" s="602"/>
      <c r="N34" s="602"/>
      <c r="O34" s="602"/>
      <c r="P34" s="602"/>
      <c r="Q34" s="602"/>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H34" s="7" t="s">
        <v>96</v>
      </c>
      <c r="BI34" s="66">
        <f>BR29</f>
        <v>4453.615225240588</v>
      </c>
      <c r="BJ34" s="73"/>
      <c r="BM34" s="12"/>
      <c r="BN34" s="12"/>
      <c r="BP34" s="12"/>
      <c r="BW34" s="1" t="s">
        <v>178</v>
      </c>
    </row>
    <row r="35" spans="1:75" ht="45" customHeight="1" thickBot="1">
      <c r="A35" s="439" t="s">
        <v>125</v>
      </c>
      <c r="B35" s="440"/>
      <c r="C35" s="440"/>
      <c r="D35" s="240" t="s">
        <v>32</v>
      </c>
      <c r="E35" s="441" t="s">
        <v>320</v>
      </c>
      <c r="F35" s="442"/>
      <c r="G35" s="443" t="s">
        <v>126</v>
      </c>
      <c r="H35" s="442"/>
      <c r="I35" s="603"/>
      <c r="J35" s="531"/>
      <c r="K35" s="603"/>
      <c r="L35" s="604"/>
      <c r="M35" s="603"/>
      <c r="N35" s="531"/>
      <c r="O35" s="603"/>
      <c r="P35" s="604"/>
      <c r="Q35" s="604"/>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H35" s="7" t="s">
        <v>97</v>
      </c>
      <c r="BI35" s="66">
        <f>BQ32</f>
        <v>4689.54179751873</v>
      </c>
      <c r="BJ35" s="73"/>
      <c r="BM35" s="12"/>
      <c r="BN35" s="12"/>
      <c r="BW35" s="1" t="s">
        <v>179</v>
      </c>
    </row>
    <row r="36" spans="1:75" ht="45" customHeight="1" thickBot="1">
      <c r="A36" s="444">
        <f>P13</f>
        <v>126.60131664574146</v>
      </c>
      <c r="B36" s="440"/>
      <c r="C36" s="440"/>
      <c r="D36" s="324"/>
      <c r="E36" s="609">
        <f>J13</f>
        <v>1.1</v>
      </c>
      <c r="F36" s="445"/>
      <c r="G36" s="446">
        <f>S13</f>
        <v>3.797712564468384</v>
      </c>
      <c r="H36" s="607"/>
      <c r="I36" s="605"/>
      <c r="J36" s="531"/>
      <c r="K36" s="605"/>
      <c r="L36" s="604"/>
      <c r="M36" s="605"/>
      <c r="N36" s="531"/>
      <c r="O36" s="605"/>
      <c r="P36" s="604"/>
      <c r="Q36" s="604"/>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F36" s="7"/>
      <c r="BG36" s="7">
        <f>IF(I7&lt;7,"",VLOOKUP(10000000,$BP$37:$BQ$42,2))</f>
      </c>
      <c r="BH36" s="65">
        <f>IF(BG36="","",VLOOKUP(BG36,$BP$19:$BS$19,4))</f>
      </c>
      <c r="BK36" s="12"/>
      <c r="BL36" s="12"/>
      <c r="BP36" s="12"/>
      <c r="BQ36" s="12"/>
      <c r="BW36" s="1" t="s">
        <v>180</v>
      </c>
    </row>
    <row r="37" spans="1:75" ht="45" customHeight="1" thickBot="1">
      <c r="A37" s="444">
        <f>P14</f>
        <v>590.6314015686512</v>
      </c>
      <c r="B37" s="440"/>
      <c r="C37" s="440"/>
      <c r="D37" s="325"/>
      <c r="E37" s="452">
        <f>J14</f>
        <v>1.2</v>
      </c>
      <c r="F37" s="452"/>
      <c r="G37" s="453">
        <f>S14</f>
        <v>2.594264328479767</v>
      </c>
      <c r="H37" s="608"/>
      <c r="I37" s="605"/>
      <c r="J37" s="531"/>
      <c r="K37" s="605"/>
      <c r="L37" s="604"/>
      <c r="M37" s="605"/>
      <c r="N37" s="531"/>
      <c r="O37" s="605"/>
      <c r="P37" s="604"/>
      <c r="Q37" s="604"/>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F37" s="7"/>
      <c r="BG37" s="7">
        <f>IF(I7&lt;7,"",VLOOKUP(10000000,$BT$52:$BU$57,2))</f>
      </c>
      <c r="BH37" s="73">
        <f>IF(BG37="","",VLOOKUP(BG37,$BQ$52:$BT$57,4))</f>
      </c>
      <c r="BK37" s="12"/>
      <c r="BL37" s="12"/>
      <c r="BQ37" s="12"/>
      <c r="BR37" s="7"/>
      <c r="BW37" s="1" t="s">
        <v>181</v>
      </c>
    </row>
    <row r="38" spans="1:75" ht="45" customHeight="1" thickBot="1">
      <c r="A38" s="444">
        <f>P16</f>
        <v>976.2212882488966</v>
      </c>
      <c r="B38" s="440"/>
      <c r="C38" s="440"/>
      <c r="D38" s="326"/>
      <c r="E38" s="456">
        <f>J16</f>
        <v>2.1</v>
      </c>
      <c r="F38" s="456"/>
      <c r="G38" s="457">
        <f>S16</f>
        <v>11.361866116523743</v>
      </c>
      <c r="H38" s="457"/>
      <c r="I38" s="605"/>
      <c r="J38" s="531"/>
      <c r="K38" s="605"/>
      <c r="L38" s="604"/>
      <c r="M38" s="605"/>
      <c r="N38" s="531"/>
      <c r="O38" s="605"/>
      <c r="P38" s="604"/>
      <c r="Q38" s="604"/>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F38" s="7"/>
      <c r="BG38" s="65"/>
      <c r="BJ38" s="12"/>
      <c r="BK38" s="12"/>
      <c r="BP38" s="12"/>
      <c r="BQ38" s="7"/>
      <c r="BW38" s="1" t="s">
        <v>182</v>
      </c>
    </row>
    <row r="39" spans="1:75" ht="45" customHeight="1" thickBot="1">
      <c r="A39" s="444">
        <f>P17</f>
        <v>1486.4516282081604</v>
      </c>
      <c r="B39" s="440"/>
      <c r="C39" s="440"/>
      <c r="D39" s="326"/>
      <c r="E39" s="456">
        <f>J17</f>
        <v>2.2</v>
      </c>
      <c r="F39" s="456"/>
      <c r="G39" s="457">
        <f>S17</f>
        <v>7.059060752391815</v>
      </c>
      <c r="H39" s="457"/>
      <c r="I39" s="605"/>
      <c r="J39" s="531"/>
      <c r="K39" s="605"/>
      <c r="L39" s="604"/>
      <c r="M39" s="605"/>
      <c r="N39" s="531"/>
      <c r="O39" s="605"/>
      <c r="P39" s="604"/>
      <c r="Q39" s="604"/>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G39" s="65"/>
      <c r="BJ39" s="12"/>
      <c r="BK39" s="12"/>
      <c r="BP39" s="12"/>
      <c r="BQ39" s="7"/>
      <c r="BR39" s="12"/>
      <c r="BW39" s="1" t="s">
        <v>183</v>
      </c>
    </row>
    <row r="40" spans="1:75" ht="45" customHeight="1" thickBot="1">
      <c r="A40" s="444">
        <f>P19</f>
        <v>2039.510608330369</v>
      </c>
      <c r="B40" s="440"/>
      <c r="C40" s="440"/>
      <c r="D40" s="327"/>
      <c r="E40" s="456">
        <f>J19</f>
        <v>3.1</v>
      </c>
      <c r="F40" s="456"/>
      <c r="G40" s="459">
        <f>S19</f>
        <v>8.967476844787598</v>
      </c>
      <c r="H40" s="457"/>
      <c r="I40" s="605"/>
      <c r="J40" s="531"/>
      <c r="K40" s="605"/>
      <c r="L40" s="604"/>
      <c r="M40" s="605"/>
      <c r="N40" s="531"/>
      <c r="O40" s="605"/>
      <c r="P40" s="604"/>
      <c r="Q40" s="604"/>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G40" s="65"/>
      <c r="BJ40" s="12"/>
      <c r="BK40" s="12"/>
      <c r="BP40" s="12"/>
      <c r="BQ40" s="7"/>
      <c r="BR40" s="12"/>
      <c r="BW40" s="1" t="s">
        <v>184</v>
      </c>
    </row>
    <row r="41" spans="1:75" ht="45" customHeight="1" thickBot="1">
      <c r="A41" s="444">
        <f>P20</f>
        <v>2464.083667963743</v>
      </c>
      <c r="B41" s="440"/>
      <c r="C41" s="440"/>
      <c r="D41" s="327"/>
      <c r="E41" s="456">
        <f>J20</f>
        <v>3.2</v>
      </c>
      <c r="F41" s="456"/>
      <c r="G41" s="459">
        <f>S20</f>
        <v>9.084971487522125</v>
      </c>
      <c r="H41" s="457"/>
      <c r="I41" s="605"/>
      <c r="J41" s="531"/>
      <c r="K41" s="605"/>
      <c r="L41" s="604"/>
      <c r="M41" s="605"/>
      <c r="N41" s="531"/>
      <c r="O41" s="605"/>
      <c r="P41" s="604"/>
      <c r="Q41" s="604"/>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G41" s="65"/>
      <c r="BJ41" s="12"/>
      <c r="BK41" s="12"/>
      <c r="BP41" s="12"/>
      <c r="BQ41" s="7"/>
      <c r="BR41" s="12"/>
      <c r="BW41" s="1" t="s">
        <v>185</v>
      </c>
    </row>
    <row r="42" spans="1:75" ht="45" customHeight="1" thickBot="1">
      <c r="A42" s="444">
        <f>P22</f>
        <v>2636.0042061656713</v>
      </c>
      <c r="B42" s="440"/>
      <c r="C42" s="440"/>
      <c r="D42" s="327"/>
      <c r="E42" s="456">
        <f>J22</f>
        <v>4.1</v>
      </c>
      <c r="F42" s="456"/>
      <c r="G42" s="459">
        <f>S22</f>
        <v>10.96837317943573</v>
      </c>
      <c r="H42" s="457"/>
      <c r="I42" s="605"/>
      <c r="J42" s="531"/>
      <c r="K42" s="605"/>
      <c r="L42" s="604"/>
      <c r="M42" s="605"/>
      <c r="N42" s="531"/>
      <c r="O42" s="605"/>
      <c r="P42" s="604"/>
      <c r="Q42" s="604"/>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G42" s="65"/>
      <c r="BJ42" s="12"/>
      <c r="BK42" s="12"/>
      <c r="BP42" s="12"/>
      <c r="BQ42" s="7"/>
      <c r="BR42" s="12"/>
      <c r="BW42" s="1" t="s">
        <v>186</v>
      </c>
    </row>
    <row r="43" spans="1:75" ht="45" customHeight="1" thickBot="1">
      <c r="A43" s="444">
        <f>P23</f>
        <v>3064.4227330088615</v>
      </c>
      <c r="B43" s="440"/>
      <c r="C43" s="440"/>
      <c r="D43" s="327"/>
      <c r="E43" s="456">
        <f>J23</f>
        <v>4.2</v>
      </c>
      <c r="F43" s="456"/>
      <c r="G43" s="459">
        <f>S23</f>
        <v>1.0258249640464783</v>
      </c>
      <c r="H43" s="457"/>
      <c r="I43" s="605"/>
      <c r="J43" s="531"/>
      <c r="K43" s="605"/>
      <c r="L43" s="604"/>
      <c r="M43" s="605"/>
      <c r="N43" s="531"/>
      <c r="O43" s="605"/>
      <c r="P43" s="604"/>
      <c r="Q43" s="604"/>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G43" s="65"/>
      <c r="BJ43" s="12"/>
      <c r="BK43" s="12"/>
      <c r="BP43" s="12"/>
      <c r="BR43" s="12"/>
      <c r="BW43" s="1" t="s">
        <v>187</v>
      </c>
    </row>
    <row r="44" spans="1:75" ht="45" customHeight="1" thickBot="1">
      <c r="A44" s="444">
        <f>P25</f>
        <v>3582.817859724164</v>
      </c>
      <c r="B44" s="440"/>
      <c r="C44" s="440"/>
      <c r="D44" s="327"/>
      <c r="E44" s="456">
        <f>J25</f>
        <v>5.1</v>
      </c>
      <c r="F44" s="456"/>
      <c r="G44" s="459">
        <f>S25</f>
        <v>8.853469610214233</v>
      </c>
      <c r="H44" s="457"/>
      <c r="I44" s="605"/>
      <c r="J44" s="531"/>
      <c r="K44" s="605"/>
      <c r="L44" s="604"/>
      <c r="M44" s="605"/>
      <c r="N44" s="531"/>
      <c r="O44" s="605"/>
      <c r="P44" s="604"/>
      <c r="Q44" s="604"/>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G44" s="65"/>
      <c r="BJ44" s="12"/>
      <c r="BK44" s="12"/>
      <c r="BP44" s="12"/>
      <c r="BW44" s="1" t="s">
        <v>188</v>
      </c>
    </row>
    <row r="45" spans="1:75" ht="45" customHeight="1" thickBot="1">
      <c r="A45" s="444">
        <f>P26</f>
        <v>3772.544176965952</v>
      </c>
      <c r="B45" s="440"/>
      <c r="C45" s="440"/>
      <c r="D45" s="327"/>
      <c r="E45" s="456">
        <f>J26</f>
        <v>5.2</v>
      </c>
      <c r="F45" s="456"/>
      <c r="G45" s="459">
        <f>S26</f>
        <v>7.370535671710968</v>
      </c>
      <c r="H45" s="457"/>
      <c r="I45" s="605"/>
      <c r="J45" s="531"/>
      <c r="K45" s="605"/>
      <c r="L45" s="604"/>
      <c r="M45" s="605"/>
      <c r="N45" s="531"/>
      <c r="O45" s="605"/>
      <c r="P45" s="604"/>
      <c r="Q45" s="604"/>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G45" s="65"/>
      <c r="BJ45" s="12"/>
      <c r="BK45" s="12"/>
      <c r="BP45" s="12"/>
      <c r="BQ45" s="65"/>
      <c r="BW45" s="1" t="s">
        <v>189</v>
      </c>
    </row>
    <row r="46" spans="1:75" ht="45" customHeight="1" thickBot="1">
      <c r="A46" s="444">
        <f>P28</f>
        <v>4453.615225240588</v>
      </c>
      <c r="B46" s="440"/>
      <c r="C46" s="440"/>
      <c r="D46" s="327"/>
      <c r="E46" s="456">
        <f>J28</f>
        <v>6.1</v>
      </c>
      <c r="F46" s="456"/>
      <c r="G46" s="459">
        <f>S28</f>
        <v>8.897966027259827</v>
      </c>
      <c r="H46" s="459"/>
      <c r="I46" s="605"/>
      <c r="J46" s="531"/>
      <c r="K46" s="605"/>
      <c r="L46" s="604"/>
      <c r="M46" s="605"/>
      <c r="N46" s="531"/>
      <c r="O46" s="605"/>
      <c r="P46" s="604"/>
      <c r="Q46" s="604"/>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G46" s="65"/>
      <c r="BJ46" s="12"/>
      <c r="BK46" s="12"/>
      <c r="BP46" s="12"/>
      <c r="BQ46" s="65"/>
      <c r="BR46" s="12"/>
      <c r="BW46" s="1" t="s">
        <v>263</v>
      </c>
    </row>
    <row r="47" spans="1:75" ht="45" customHeight="1" thickBot="1">
      <c r="A47" s="444">
        <f>P29</f>
        <v>4689.54179751873</v>
      </c>
      <c r="B47" s="440"/>
      <c r="C47" s="440"/>
      <c r="D47" s="327"/>
      <c r="E47" s="456">
        <f>J29</f>
        <v>6.2</v>
      </c>
      <c r="F47" s="456"/>
      <c r="G47" s="459">
        <f>S29</f>
        <v>4.315674960613251</v>
      </c>
      <c r="H47" s="459"/>
      <c r="I47" s="605"/>
      <c r="J47" s="531"/>
      <c r="K47" s="605"/>
      <c r="L47" s="604"/>
      <c r="M47" s="605"/>
      <c r="N47" s="531"/>
      <c r="O47" s="605"/>
      <c r="P47" s="604"/>
      <c r="Q47" s="604"/>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G47" s="65"/>
      <c r="BJ47" s="12"/>
      <c r="BK47" s="12"/>
      <c r="BP47" s="12"/>
      <c r="BQ47" s="65"/>
      <c r="BR47" s="12"/>
      <c r="BW47" s="1" t="s">
        <v>264</v>
      </c>
    </row>
    <row r="48" spans="1:75" ht="40.5" customHeight="1">
      <c r="A48" s="18"/>
      <c r="B48" s="111"/>
      <c r="C48" s="185"/>
      <c r="D48" s="180"/>
      <c r="E48" s="18"/>
      <c r="F48" s="328"/>
      <c r="G48" s="328"/>
      <c r="O48" s="250"/>
      <c r="P48" s="18"/>
      <c r="Q48" s="18"/>
      <c r="R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G48" s="65"/>
      <c r="BJ48" s="12"/>
      <c r="BK48" s="12"/>
      <c r="BP48" s="12"/>
      <c r="BQ48" s="65"/>
      <c r="BR48" s="12"/>
      <c r="BW48" s="1" t="s">
        <v>265</v>
      </c>
    </row>
    <row r="49" spans="1:75" ht="40.5" customHeight="1">
      <c r="A49" s="18"/>
      <c r="B49" s="111"/>
      <c r="H49" s="18"/>
      <c r="I49" s="18"/>
      <c r="J49" s="18"/>
      <c r="K49" s="18"/>
      <c r="L49" s="18"/>
      <c r="M49" s="18"/>
      <c r="N49" s="18"/>
      <c r="O49" s="18"/>
      <c r="R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W49" s="1" t="s">
        <v>216</v>
      </c>
    </row>
    <row r="50" spans="1:75" ht="40.5" customHeight="1">
      <c r="A50" s="18"/>
      <c r="B50" s="187"/>
      <c r="H50" s="18"/>
      <c r="I50" s="18"/>
      <c r="J50" s="18"/>
      <c r="K50" s="18"/>
      <c r="L50" s="18"/>
      <c r="M50" s="18"/>
      <c r="N50" s="18"/>
      <c r="O50" s="18"/>
      <c r="R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W50" s="1" t="s">
        <v>217</v>
      </c>
    </row>
    <row r="51" spans="1:75" ht="12.75">
      <c r="A51" s="18"/>
      <c r="B51" s="111"/>
      <c r="H51" s="18"/>
      <c r="I51" s="18"/>
      <c r="J51" s="291" t="s">
        <v>107</v>
      </c>
      <c r="K51" s="291"/>
      <c r="L51" s="239"/>
      <c r="M51" s="239"/>
      <c r="N51" s="239"/>
      <c r="O51" s="239"/>
      <c r="R51" s="18"/>
      <c r="BW51" s="1" t="s">
        <v>218</v>
      </c>
    </row>
    <row r="52" spans="1:75" ht="12.75">
      <c r="A52" s="18"/>
      <c r="B52" s="111">
        <f>IF($G$7&gt;B50,B50+1," ")</f>
        <v>1</v>
      </c>
      <c r="H52" s="18"/>
      <c r="I52" s="18"/>
      <c r="J52" s="291"/>
      <c r="K52" s="291"/>
      <c r="L52" s="290"/>
      <c r="M52" s="290"/>
      <c r="N52" s="290"/>
      <c r="O52" s="290"/>
      <c r="R52" s="18"/>
      <c r="BW52" s="1" t="s">
        <v>219</v>
      </c>
    </row>
    <row r="53" spans="1:75" ht="12.75">
      <c r="A53" s="18"/>
      <c r="B53" s="111">
        <f>B52</f>
        <v>1</v>
      </c>
      <c r="H53" s="18"/>
      <c r="I53" s="18"/>
      <c r="J53" s="18"/>
      <c r="K53" s="18"/>
      <c r="L53" s="18"/>
      <c r="M53" s="18"/>
      <c r="N53" s="18"/>
      <c r="O53" s="18"/>
      <c r="R53" s="18"/>
      <c r="BW53" s="1" t="s">
        <v>220</v>
      </c>
    </row>
    <row r="54" spans="1:75" ht="12.75">
      <c r="A54" s="18"/>
      <c r="B54" s="18"/>
      <c r="BW54" s="1" t="s">
        <v>221</v>
      </c>
    </row>
    <row r="55" spans="1:75" ht="12.75">
      <c r="A55" s="18"/>
      <c r="B55" s="18"/>
      <c r="BW55" s="1" t="s">
        <v>222</v>
      </c>
    </row>
    <row r="56" spans="1:75" ht="12.75">
      <c r="A56" s="18"/>
      <c r="B56" s="18"/>
      <c r="BW56" s="174" t="s">
        <v>190</v>
      </c>
    </row>
    <row r="57" spans="1:75" ht="12.75">
      <c r="A57" s="18"/>
      <c r="B57" s="18"/>
      <c r="BW57" s="1" t="s">
        <v>191</v>
      </c>
    </row>
    <row r="58" ht="12.75">
      <c r="BW58" s="1" t="s">
        <v>192</v>
      </c>
    </row>
    <row r="59" ht="12.75">
      <c r="BW59" s="1" t="s">
        <v>193</v>
      </c>
    </row>
    <row r="60" ht="12.75">
      <c r="BW60" s="1" t="s">
        <v>194</v>
      </c>
    </row>
    <row r="61" ht="12.75">
      <c r="BW61" s="1" t="s">
        <v>195</v>
      </c>
    </row>
    <row r="62" ht="12.75">
      <c r="BW62" s="1" t="s">
        <v>196</v>
      </c>
    </row>
    <row r="63" ht="12.75">
      <c r="BW63" s="1" t="s">
        <v>266</v>
      </c>
    </row>
    <row r="64" ht="12.75">
      <c r="BW64" s="1" t="s">
        <v>267</v>
      </c>
    </row>
    <row r="65" ht="12.75">
      <c r="BW65" s="1" t="s">
        <v>268</v>
      </c>
    </row>
    <row r="66" ht="12.75">
      <c r="BW66" s="1" t="s">
        <v>208</v>
      </c>
    </row>
    <row r="67" ht="12.75">
      <c r="BW67" s="1" t="s">
        <v>209</v>
      </c>
    </row>
    <row r="68" ht="12.75">
      <c r="BW68" s="1" t="s">
        <v>210</v>
      </c>
    </row>
    <row r="69" ht="12.75">
      <c r="BW69" s="1" t="s">
        <v>211</v>
      </c>
    </row>
    <row r="70" ht="12.75">
      <c r="BW70" s="1" t="s">
        <v>212</v>
      </c>
    </row>
    <row r="71" ht="12.75">
      <c r="BW71" s="1" t="s">
        <v>213</v>
      </c>
    </row>
    <row r="72" ht="12.75">
      <c r="BW72" s="1" t="s">
        <v>214</v>
      </c>
    </row>
    <row r="73" ht="12.75">
      <c r="BW73" s="174" t="s">
        <v>224</v>
      </c>
    </row>
    <row r="74" ht="12.75">
      <c r="BW74" s="1" t="s">
        <v>223</v>
      </c>
    </row>
    <row r="75" ht="12.75">
      <c r="BW75" s="1" t="s">
        <v>225</v>
      </c>
    </row>
    <row r="76" ht="12.75">
      <c r="BW76" s="1" t="s">
        <v>226</v>
      </c>
    </row>
    <row r="77" ht="12.75">
      <c r="BW77" s="1" t="s">
        <v>227</v>
      </c>
    </row>
    <row r="78" ht="12.75">
      <c r="BW78" s="1" t="s">
        <v>228</v>
      </c>
    </row>
    <row r="79" ht="12.75">
      <c r="BW79" s="1" t="s">
        <v>229</v>
      </c>
    </row>
    <row r="80" ht="12.75">
      <c r="BW80" s="1" t="s">
        <v>269</v>
      </c>
    </row>
    <row r="81" ht="12.75">
      <c r="BW81" s="1" t="s">
        <v>270</v>
      </c>
    </row>
    <row r="82" ht="12.75">
      <c r="BW82" s="1" t="s">
        <v>271</v>
      </c>
    </row>
    <row r="83" ht="12.75">
      <c r="BW83" s="1" t="s">
        <v>201</v>
      </c>
    </row>
    <row r="84" ht="12.75">
      <c r="BW84" s="1" t="s">
        <v>202</v>
      </c>
    </row>
    <row r="85" ht="12.75">
      <c r="BW85" s="1" t="s">
        <v>203</v>
      </c>
    </row>
    <row r="86" ht="12.75">
      <c r="BW86" s="1" t="s">
        <v>204</v>
      </c>
    </row>
    <row r="87" ht="12.75">
      <c r="BW87" s="1" t="s">
        <v>205</v>
      </c>
    </row>
    <row r="88" ht="12.75">
      <c r="BW88" s="1" t="s">
        <v>206</v>
      </c>
    </row>
    <row r="89" ht="12.75">
      <c r="BW89" s="1" t="s">
        <v>207</v>
      </c>
    </row>
  </sheetData>
  <sheetProtection password="D86C" sheet="1" objects="1" scenarios="1"/>
  <mergeCells count="114">
    <mergeCell ref="K46:L46"/>
    <mergeCell ref="M46:N46"/>
    <mergeCell ref="O46:Q46"/>
    <mergeCell ref="A47:C47"/>
    <mergeCell ref="E47:F47"/>
    <mergeCell ref="G47:H47"/>
    <mergeCell ref="I47:J47"/>
    <mergeCell ref="K47:L47"/>
    <mergeCell ref="M47:N47"/>
    <mergeCell ref="O47:Q47"/>
    <mergeCell ref="A46:C46"/>
    <mergeCell ref="E46:F46"/>
    <mergeCell ref="G46:H46"/>
    <mergeCell ref="I46:J46"/>
    <mergeCell ref="K44:L44"/>
    <mergeCell ref="M44:N44"/>
    <mergeCell ref="O44:Q44"/>
    <mergeCell ref="A45:C45"/>
    <mergeCell ref="E45:F45"/>
    <mergeCell ref="G45:H45"/>
    <mergeCell ref="I45:J45"/>
    <mergeCell ref="K45:L45"/>
    <mergeCell ref="M45:N45"/>
    <mergeCell ref="O45:Q45"/>
    <mergeCell ref="A44:C44"/>
    <mergeCell ref="E44:F44"/>
    <mergeCell ref="G44:H44"/>
    <mergeCell ref="I44:J44"/>
    <mergeCell ref="K42:L42"/>
    <mergeCell ref="M42:N42"/>
    <mergeCell ref="O42:Q42"/>
    <mergeCell ref="A43:C43"/>
    <mergeCell ref="E43:F43"/>
    <mergeCell ref="G43:H43"/>
    <mergeCell ref="I43:J43"/>
    <mergeCell ref="K43:L43"/>
    <mergeCell ref="M43:N43"/>
    <mergeCell ref="O43:Q43"/>
    <mergeCell ref="A42:C42"/>
    <mergeCell ref="E42:F42"/>
    <mergeCell ref="G42:H42"/>
    <mergeCell ref="I42:J42"/>
    <mergeCell ref="K40:L40"/>
    <mergeCell ref="M40:N40"/>
    <mergeCell ref="O40:Q40"/>
    <mergeCell ref="A41:C41"/>
    <mergeCell ref="E41:F41"/>
    <mergeCell ref="G41:H41"/>
    <mergeCell ref="I41:J41"/>
    <mergeCell ref="K41:L41"/>
    <mergeCell ref="M41:N41"/>
    <mergeCell ref="O41:Q41"/>
    <mergeCell ref="A40:C40"/>
    <mergeCell ref="E40:F40"/>
    <mergeCell ref="G40:H40"/>
    <mergeCell ref="I40:J40"/>
    <mergeCell ref="K38:L38"/>
    <mergeCell ref="M38:N38"/>
    <mergeCell ref="O38:Q38"/>
    <mergeCell ref="A39:C39"/>
    <mergeCell ref="E39:F39"/>
    <mergeCell ref="G39:H39"/>
    <mergeCell ref="I39:J39"/>
    <mergeCell ref="K39:L39"/>
    <mergeCell ref="M39:N39"/>
    <mergeCell ref="O39:Q39"/>
    <mergeCell ref="A38:C38"/>
    <mergeCell ref="E38:F38"/>
    <mergeCell ref="G38:H38"/>
    <mergeCell ref="I38:J38"/>
    <mergeCell ref="K36:L36"/>
    <mergeCell ref="M36:N36"/>
    <mergeCell ref="O36:Q36"/>
    <mergeCell ref="A37:C37"/>
    <mergeCell ref="E37:F37"/>
    <mergeCell ref="G37:H37"/>
    <mergeCell ref="I37:J37"/>
    <mergeCell ref="K37:L37"/>
    <mergeCell ref="M37:N37"/>
    <mergeCell ref="O37:Q37"/>
    <mergeCell ref="A36:C36"/>
    <mergeCell ref="E36:F36"/>
    <mergeCell ref="G36:H36"/>
    <mergeCell ref="I36:J36"/>
    <mergeCell ref="I34:Q34"/>
    <mergeCell ref="A35:C35"/>
    <mergeCell ref="E35:F35"/>
    <mergeCell ref="G35:H35"/>
    <mergeCell ref="I35:J35"/>
    <mergeCell ref="K35:L35"/>
    <mergeCell ref="M35:N35"/>
    <mergeCell ref="O35:Q35"/>
    <mergeCell ref="F9:H9"/>
    <mergeCell ref="C23:F25"/>
    <mergeCell ref="D12:E12"/>
    <mergeCell ref="E34:H34"/>
    <mergeCell ref="E5:F5"/>
    <mergeCell ref="I5:J5"/>
    <mergeCell ref="L5:M5"/>
    <mergeCell ref="E6:F6"/>
    <mergeCell ref="G6:H6"/>
    <mergeCell ref="I6:J6"/>
    <mergeCell ref="L6:M6"/>
    <mergeCell ref="G5:H5"/>
    <mergeCell ref="D7:E7"/>
    <mergeCell ref="G7:H7"/>
    <mergeCell ref="D8:E8"/>
    <mergeCell ref="G8:H8"/>
    <mergeCell ref="J27:K27"/>
    <mergeCell ref="J30:K30"/>
    <mergeCell ref="J15:K15"/>
    <mergeCell ref="J18:K18"/>
    <mergeCell ref="J21:K21"/>
    <mergeCell ref="J24:K24"/>
  </mergeCells>
  <dataValidations count="2">
    <dataValidation type="list" allowBlank="1" showInputMessage="1" showErrorMessage="1" sqref="K8">
      <formula1>$BU$4:$BU$16</formula1>
    </dataValidation>
    <dataValidation type="list" allowBlank="1" showInputMessage="1" showErrorMessage="1" sqref="M7">
      <formula1>$BW$4:$BW$88</formula1>
    </dataValidation>
  </dataValidations>
  <printOptions/>
  <pageMargins left="0.25" right="0" top="0.25" bottom="0.38" header="0.5" footer="0.5"/>
  <pageSetup blackAndWhite="1" horizontalDpi="300" verticalDpi="300" orientation="portrait" scale="47" r:id="rId3"/>
  <legacyDrawing r:id="rId2"/>
</worksheet>
</file>

<file path=xl/worksheets/sheet3.xml><?xml version="1.0" encoding="utf-8"?>
<worksheet xmlns="http://schemas.openxmlformats.org/spreadsheetml/2006/main" xmlns:r="http://schemas.openxmlformats.org/officeDocument/2006/relationships">
  <sheetPr codeName="Sheet13">
    <pageSetUpPr fitToPage="1"/>
  </sheetPr>
  <dimension ref="A1:AU178"/>
  <sheetViews>
    <sheetView showGridLines="0" zoomScale="75" zoomScaleNormal="75" workbookViewId="0" topLeftCell="A1">
      <selection activeCell="E5" sqref="E5:G5"/>
    </sheetView>
  </sheetViews>
  <sheetFormatPr defaultColWidth="9.140625" defaultRowHeight="12.75"/>
  <cols>
    <col min="1" max="1" width="4.7109375" style="0" customWidth="1"/>
    <col min="2" max="2" width="3.57421875" style="0" hidden="1" customWidth="1"/>
    <col min="3" max="3" width="6.7109375" style="0" customWidth="1"/>
    <col min="4" max="5" width="12.7109375" style="0" customWidth="1"/>
    <col min="6" max="6" width="13.7109375" style="0" customWidth="1"/>
    <col min="7" max="7" width="7.7109375" style="0" customWidth="1"/>
    <col min="8" max="8" width="11.7109375" style="0" customWidth="1"/>
    <col min="9" max="9" width="8.7109375" style="0" customWidth="1"/>
    <col min="10" max="10" width="11.7109375" style="0" customWidth="1"/>
    <col min="11" max="11" width="14.7109375" style="0" customWidth="1"/>
    <col min="12" max="12" width="17.7109375" style="0" customWidth="1"/>
    <col min="13" max="13" width="13.7109375" style="0" customWidth="1"/>
    <col min="14" max="14" width="10.7109375" style="0" customWidth="1"/>
    <col min="15" max="16" width="13.7109375" style="0" customWidth="1"/>
    <col min="17" max="17" width="11.00390625" style="0" customWidth="1"/>
    <col min="18" max="18" width="3.421875" style="0" hidden="1" customWidth="1"/>
    <col min="19" max="19" width="5.421875" style="0" hidden="1" customWidth="1"/>
    <col min="20" max="20" width="4.8515625" style="0" hidden="1" customWidth="1"/>
    <col min="21" max="21" width="5.28125" style="0" hidden="1" customWidth="1"/>
    <col min="22" max="22" width="8.57421875" style="0" hidden="1" customWidth="1"/>
    <col min="23" max="23" width="10.00390625" style="65" hidden="1" customWidth="1"/>
    <col min="24" max="24" width="6.7109375" style="0" hidden="1" customWidth="1"/>
    <col min="25" max="25" width="13.140625" style="0" hidden="1" customWidth="1"/>
    <col min="26" max="26" width="10.00390625" style="0" hidden="1" customWidth="1"/>
    <col min="27" max="27" width="14.421875" style="65" hidden="1" customWidth="1"/>
    <col min="28" max="28" width="20.28125" style="65" hidden="1" customWidth="1"/>
    <col min="29" max="29" width="6.57421875" style="0" hidden="1" customWidth="1"/>
    <col min="30" max="30" width="9.140625" style="0" hidden="1" customWidth="1"/>
    <col min="31" max="31" width="10.8515625" style="0" hidden="1" customWidth="1"/>
    <col min="32" max="32" width="8.8515625" style="0" hidden="1" customWidth="1"/>
    <col min="33" max="33" width="11.421875" style="0" hidden="1" customWidth="1"/>
    <col min="34" max="34" width="12.57421875" style="0" hidden="1" customWidth="1"/>
    <col min="35" max="35" width="10.7109375" style="0" hidden="1" customWidth="1"/>
    <col min="36" max="36" width="11.57421875" style="65" hidden="1" customWidth="1"/>
    <col min="37" max="37" width="12.28125" style="0" hidden="1" customWidth="1"/>
    <col min="38" max="38" width="27.00390625" style="0" hidden="1" customWidth="1"/>
    <col min="39" max="39" width="8.00390625" style="0" hidden="1" customWidth="1"/>
    <col min="40" max="40" width="14.57421875" style="65" hidden="1" customWidth="1"/>
    <col min="41" max="41" width="8.00390625" style="0" customWidth="1"/>
    <col min="42" max="42" width="9.28125" style="0" customWidth="1"/>
    <col min="43" max="43" width="8.421875" style="0" customWidth="1"/>
    <col min="44" max="44" width="15.00390625" style="0" customWidth="1"/>
    <col min="45" max="45" width="8.57421875" style="0" customWidth="1"/>
    <col min="46" max="46" width="9.140625" style="0" customWidth="1"/>
    <col min="47" max="47" width="11.7109375" style="0" customWidth="1"/>
    <col min="48" max="48" width="9.57421875" style="0" customWidth="1"/>
    <col min="49" max="78" width="9.140625" style="0" customWidth="1"/>
  </cols>
  <sheetData>
    <row r="1" spans="1:17" ht="12.75" customHeight="1">
      <c r="A1" s="18"/>
      <c r="B1" s="18"/>
      <c r="C1" s="18"/>
      <c r="D1" s="18"/>
      <c r="E1" s="18"/>
      <c r="F1" s="18"/>
      <c r="G1" s="18"/>
      <c r="H1" s="18"/>
      <c r="I1" s="18"/>
      <c r="J1" s="18"/>
      <c r="K1" s="18"/>
      <c r="L1" s="18"/>
      <c r="M1" s="18"/>
      <c r="N1" s="18"/>
      <c r="O1" s="18"/>
      <c r="P1" s="18"/>
      <c r="Q1" s="18"/>
    </row>
    <row r="2" spans="1:17" ht="22.5" customHeight="1">
      <c r="A2" s="18"/>
      <c r="B2" s="18"/>
      <c r="C2" s="18"/>
      <c r="D2" s="18"/>
      <c r="E2" s="306" t="s">
        <v>26</v>
      </c>
      <c r="G2" s="306"/>
      <c r="H2" s="306"/>
      <c r="I2" s="306"/>
      <c r="N2" s="18"/>
      <c r="O2" s="18" t="s">
        <v>231</v>
      </c>
      <c r="P2" s="18"/>
      <c r="Q2" s="18"/>
    </row>
    <row r="3" spans="1:17" ht="12.75" customHeight="1">
      <c r="A3" s="18"/>
      <c r="B3" s="18"/>
      <c r="C3" s="183"/>
      <c r="D3" s="195">
        <f>Notes!$A$2</f>
        <v>39548</v>
      </c>
      <c r="E3" s="195"/>
      <c r="F3" s="18"/>
      <c r="G3" s="18"/>
      <c r="H3" s="18"/>
      <c r="I3" s="18"/>
      <c r="J3" s="18"/>
      <c r="K3" s="18"/>
      <c r="L3" s="18"/>
      <c r="M3" s="18"/>
      <c r="N3" s="18"/>
      <c r="O3" s="18"/>
      <c r="P3" s="18"/>
      <c r="Q3" s="18"/>
    </row>
    <row r="4" spans="1:17" ht="12.75" customHeight="1">
      <c r="A4" s="18"/>
      <c r="B4" s="18"/>
      <c r="C4" s="183"/>
      <c r="D4" s="18"/>
      <c r="E4" s="18"/>
      <c r="F4" s="18"/>
      <c r="G4" s="18"/>
      <c r="H4" s="18"/>
      <c r="I4" s="18"/>
      <c r="J4" s="18"/>
      <c r="K4" s="18"/>
      <c r="L4" s="18"/>
      <c r="M4" s="18"/>
      <c r="N4" s="18"/>
      <c r="O4" s="4" t="s">
        <v>33</v>
      </c>
      <c r="P4" s="5">
        <v>39297</v>
      </c>
      <c r="Q4" s="18"/>
    </row>
    <row r="5" spans="1:17" ht="15.75" customHeight="1">
      <c r="A5" s="18"/>
      <c r="B5" s="18"/>
      <c r="C5" s="18"/>
      <c r="D5" s="268" t="s">
        <v>0</v>
      </c>
      <c r="E5" s="478" t="s">
        <v>249</v>
      </c>
      <c r="F5" s="479"/>
      <c r="G5" s="480"/>
      <c r="H5" s="470" t="s">
        <v>39</v>
      </c>
      <c r="I5" s="471"/>
      <c r="J5" s="472">
        <v>12</v>
      </c>
      <c r="K5" s="472"/>
      <c r="L5" s="8" t="s">
        <v>40</v>
      </c>
      <c r="M5" s="469" t="s">
        <v>246</v>
      </c>
      <c r="N5" s="404"/>
      <c r="O5" s="4" t="s">
        <v>41</v>
      </c>
      <c r="P5" s="9">
        <v>1</v>
      </c>
      <c r="Q5" s="18"/>
    </row>
    <row r="6" spans="1:17" ht="12.75" customHeight="1">
      <c r="A6" s="18"/>
      <c r="B6" s="18"/>
      <c r="C6" s="18"/>
      <c r="D6" s="11" t="s">
        <v>2</v>
      </c>
      <c r="E6" s="404" t="s">
        <v>244</v>
      </c>
      <c r="F6" s="481"/>
      <c r="G6" s="405"/>
      <c r="H6" s="433" t="s">
        <v>44</v>
      </c>
      <c r="I6" s="473"/>
      <c r="J6" s="468">
        <v>1</v>
      </c>
      <c r="K6" s="468"/>
      <c r="L6" s="18"/>
      <c r="M6" s="6"/>
      <c r="N6" s="18"/>
      <c r="O6" s="4" t="s">
        <v>45</v>
      </c>
      <c r="P6" s="5">
        <v>39298</v>
      </c>
      <c r="Q6" s="18"/>
    </row>
    <row r="7" spans="1:17" ht="12.75" customHeight="1">
      <c r="A7" s="18"/>
      <c r="B7" s="18"/>
      <c r="C7" s="18"/>
      <c r="D7" s="432" t="s">
        <v>42</v>
      </c>
      <c r="E7" s="466"/>
      <c r="F7" s="482" t="s">
        <v>47</v>
      </c>
      <c r="G7" s="482"/>
      <c r="H7" s="18"/>
      <c r="I7" s="18"/>
      <c r="J7" s="54"/>
      <c r="K7" s="18"/>
      <c r="L7" s="18"/>
      <c r="M7" s="6"/>
      <c r="N7" s="84"/>
      <c r="O7" s="4" t="s">
        <v>235</v>
      </c>
      <c r="P7" s="9" t="s">
        <v>300</v>
      </c>
      <c r="Q7" s="18"/>
    </row>
    <row r="8" spans="1:17" ht="12.75" customHeight="1">
      <c r="A8" s="18"/>
      <c r="B8" s="18"/>
      <c r="C8" s="18"/>
      <c r="D8" s="432" t="s">
        <v>46</v>
      </c>
      <c r="E8" s="433"/>
      <c r="F8" s="404" t="s">
        <v>247</v>
      </c>
      <c r="G8" s="405"/>
      <c r="H8" s="465" t="s">
        <v>50</v>
      </c>
      <c r="I8" s="464"/>
      <c r="J8" s="379">
        <v>182500</v>
      </c>
      <c r="K8" s="14" t="s">
        <v>51</v>
      </c>
      <c r="L8" s="381">
        <v>179255</v>
      </c>
      <c r="M8" s="15" t="s">
        <v>52</v>
      </c>
      <c r="N8" s="19">
        <f aca="true" t="shared" si="0" ref="N8:N13">ABS(J8-L8)</f>
        <v>3245</v>
      </c>
      <c r="O8" s="17" t="s">
        <v>53</v>
      </c>
      <c r="P8" s="221">
        <v>40</v>
      </c>
      <c r="Q8" s="18"/>
    </row>
    <row r="9" spans="1:17" ht="12.75" customHeight="1">
      <c r="A9" s="18"/>
      <c r="B9" s="18"/>
      <c r="C9" s="18"/>
      <c r="D9" s="432" t="s">
        <v>49</v>
      </c>
      <c r="E9" s="433"/>
      <c r="F9" s="404" t="s">
        <v>250</v>
      </c>
      <c r="G9" s="405"/>
      <c r="H9" s="465" t="s">
        <v>50</v>
      </c>
      <c r="I9" s="464"/>
      <c r="J9" s="380">
        <v>178488</v>
      </c>
      <c r="K9" s="14" t="s">
        <v>51</v>
      </c>
      <c r="L9" s="381">
        <v>173878</v>
      </c>
      <c r="M9" s="15" t="s">
        <v>52</v>
      </c>
      <c r="N9" s="19">
        <f t="shared" si="0"/>
        <v>4610</v>
      </c>
      <c r="O9" s="21"/>
      <c r="P9" s="22"/>
      <c r="Q9" s="18"/>
    </row>
    <row r="10" spans="1:17" ht="12.75" customHeight="1">
      <c r="A10" s="18"/>
      <c r="B10" s="18"/>
      <c r="C10" s="18"/>
      <c r="D10" s="432" t="s">
        <v>54</v>
      </c>
      <c r="E10" s="433"/>
      <c r="F10" s="404" t="s">
        <v>251</v>
      </c>
      <c r="G10" s="405"/>
      <c r="H10" s="465" t="s">
        <v>50</v>
      </c>
      <c r="I10" s="464"/>
      <c r="J10" s="380">
        <v>173116</v>
      </c>
      <c r="K10" s="14" t="s">
        <v>51</v>
      </c>
      <c r="L10" s="381">
        <v>172658</v>
      </c>
      <c r="M10" s="15" t="s">
        <v>52</v>
      </c>
      <c r="N10" s="19">
        <f t="shared" si="0"/>
        <v>458</v>
      </c>
      <c r="O10" s="21"/>
      <c r="P10" s="22"/>
      <c r="Q10" s="18"/>
    </row>
    <row r="11" spans="1:17" ht="12.75" customHeight="1">
      <c r="A11" s="18"/>
      <c r="B11" s="18"/>
      <c r="C11" s="18"/>
      <c r="D11" s="432" t="s">
        <v>56</v>
      </c>
      <c r="E11" s="433"/>
      <c r="F11" s="404" t="s">
        <v>252</v>
      </c>
      <c r="G11" s="405"/>
      <c r="H11" s="465" t="s">
        <v>50</v>
      </c>
      <c r="I11" s="464"/>
      <c r="J11" s="380">
        <v>171875</v>
      </c>
      <c r="K11" s="14" t="s">
        <v>51</v>
      </c>
      <c r="L11" s="381">
        <v>168580</v>
      </c>
      <c r="M11" s="15" t="s">
        <v>52</v>
      </c>
      <c r="N11" s="16">
        <f t="shared" si="0"/>
        <v>3295</v>
      </c>
      <c r="O11" s="17" t="s">
        <v>60</v>
      </c>
      <c r="P11" s="222">
        <v>1</v>
      </c>
      <c r="Q11" s="18"/>
    </row>
    <row r="12" spans="1:17" ht="12.75" customHeight="1">
      <c r="A12" s="18"/>
      <c r="B12" s="18"/>
      <c r="C12" s="18"/>
      <c r="D12" s="432" t="s">
        <v>58</v>
      </c>
      <c r="E12" s="433"/>
      <c r="F12" s="404" t="s">
        <v>253</v>
      </c>
      <c r="G12" s="405"/>
      <c r="H12" s="465" t="s">
        <v>50</v>
      </c>
      <c r="I12" s="464"/>
      <c r="J12" s="380">
        <v>167815</v>
      </c>
      <c r="K12" s="14" t="s">
        <v>51</v>
      </c>
      <c r="L12" s="381">
        <v>163251</v>
      </c>
      <c r="M12" s="15" t="s">
        <v>52</v>
      </c>
      <c r="N12" s="16">
        <f t="shared" si="0"/>
        <v>4564</v>
      </c>
      <c r="O12" s="4" t="s">
        <v>63</v>
      </c>
      <c r="P12" s="223">
        <v>2360</v>
      </c>
      <c r="Q12" s="18"/>
    </row>
    <row r="13" spans="1:17" ht="12.75" customHeight="1">
      <c r="A13" s="18"/>
      <c r="B13" s="18"/>
      <c r="C13" s="18"/>
      <c r="D13" s="432" t="s">
        <v>61</v>
      </c>
      <c r="E13" s="433"/>
      <c r="F13" s="404" t="s">
        <v>254</v>
      </c>
      <c r="G13" s="405"/>
      <c r="H13" s="465" t="s">
        <v>50</v>
      </c>
      <c r="I13" s="464"/>
      <c r="J13" s="380">
        <v>162504</v>
      </c>
      <c r="K13" s="14" t="s">
        <v>51</v>
      </c>
      <c r="L13" s="381">
        <v>157925</v>
      </c>
      <c r="M13" s="15" t="s">
        <v>52</v>
      </c>
      <c r="N13" s="16">
        <f t="shared" si="0"/>
        <v>4579</v>
      </c>
      <c r="O13" s="4" t="s">
        <v>5</v>
      </c>
      <c r="P13" s="193" t="s">
        <v>259</v>
      </c>
      <c r="Q13" s="18"/>
    </row>
    <row r="14" spans="1:17" ht="12.75" customHeight="1">
      <c r="A14" s="18"/>
      <c r="B14" s="18"/>
      <c r="C14" s="18"/>
      <c r="D14" s="432" t="s">
        <v>237</v>
      </c>
      <c r="E14" s="433"/>
      <c r="F14" s="404" t="s">
        <v>255</v>
      </c>
      <c r="G14" s="405"/>
      <c r="H14" s="465" t="s">
        <v>50</v>
      </c>
      <c r="I14" s="464"/>
      <c r="J14" s="380">
        <v>157168</v>
      </c>
      <c r="K14" s="14" t="s">
        <v>51</v>
      </c>
      <c r="L14" s="381">
        <v>155532</v>
      </c>
      <c r="M14" s="15" t="s">
        <v>52</v>
      </c>
      <c r="N14" s="16">
        <f>ABS(J14-L14)</f>
        <v>1636</v>
      </c>
      <c r="O14" s="4"/>
      <c r="P14" s="193"/>
      <c r="Q14" s="18"/>
    </row>
    <row r="15" spans="1:17" ht="12.75" customHeight="1">
      <c r="A15" s="18"/>
      <c r="B15" s="18"/>
      <c r="C15" s="18"/>
      <c r="D15" s="432" t="s">
        <v>238</v>
      </c>
      <c r="E15" s="433"/>
      <c r="F15" s="404" t="s">
        <v>256</v>
      </c>
      <c r="G15" s="405"/>
      <c r="H15" s="465" t="s">
        <v>50</v>
      </c>
      <c r="I15" s="464"/>
      <c r="J15" s="380">
        <v>154790</v>
      </c>
      <c r="K15" s="14" t="s">
        <v>51</v>
      </c>
      <c r="L15" s="381">
        <v>152800</v>
      </c>
      <c r="M15" s="15" t="s">
        <v>52</v>
      </c>
      <c r="N15" s="16">
        <f>ABS(J15-L15)</f>
        <v>1990</v>
      </c>
      <c r="O15" s="4"/>
      <c r="P15" s="193"/>
      <c r="Q15" s="18"/>
    </row>
    <row r="16" spans="1:17" ht="12.75" customHeight="1">
      <c r="A16" s="18"/>
      <c r="B16" s="18"/>
      <c r="C16" s="18"/>
      <c r="D16" s="432" t="s">
        <v>276</v>
      </c>
      <c r="E16" s="433"/>
      <c r="F16" s="404" t="s">
        <v>277</v>
      </c>
      <c r="G16" s="405"/>
      <c r="H16" s="463" t="s">
        <v>50</v>
      </c>
      <c r="I16" s="433"/>
      <c r="J16" s="380">
        <v>152035</v>
      </c>
      <c r="K16" s="14" t="s">
        <v>51</v>
      </c>
      <c r="L16" s="381">
        <v>142165</v>
      </c>
      <c r="M16" s="15" t="s">
        <v>52</v>
      </c>
      <c r="N16" s="16">
        <f>ABS(J16-L16)</f>
        <v>9870</v>
      </c>
      <c r="O16" s="4"/>
      <c r="P16" s="193"/>
      <c r="Q16" s="18"/>
    </row>
    <row r="17" spans="1:17" ht="12.75" customHeight="1">
      <c r="A17" s="18"/>
      <c r="B17" s="18"/>
      <c r="C17" s="18"/>
      <c r="D17" s="432" t="s">
        <v>296</v>
      </c>
      <c r="E17" s="433"/>
      <c r="F17" s="404" t="s">
        <v>278</v>
      </c>
      <c r="G17" s="405"/>
      <c r="H17" s="463" t="s">
        <v>50</v>
      </c>
      <c r="I17" s="433"/>
      <c r="J17" s="380">
        <v>141388</v>
      </c>
      <c r="K17" s="14" t="s">
        <v>51</v>
      </c>
      <c r="L17" s="381">
        <v>139550</v>
      </c>
      <c r="M17" s="15" t="s">
        <v>52</v>
      </c>
      <c r="N17" s="16">
        <f>ABS(J17-L17)</f>
        <v>1838</v>
      </c>
      <c r="O17" s="4"/>
      <c r="P17" s="193"/>
      <c r="Q17" s="18"/>
    </row>
    <row r="18" spans="1:17" ht="12.75" customHeight="1">
      <c r="A18" s="18"/>
      <c r="B18" s="18"/>
      <c r="C18" s="18"/>
      <c r="D18" s="18"/>
      <c r="E18" s="18"/>
      <c r="F18" s="18"/>
      <c r="G18" s="18"/>
      <c r="H18" s="483" t="s">
        <v>66</v>
      </c>
      <c r="I18" s="483"/>
      <c r="J18" s="24">
        <v>3067</v>
      </c>
      <c r="K18" s="17" t="s">
        <v>67</v>
      </c>
      <c r="L18" s="25">
        <f>IF(L20&gt;0,L20,VLOOKUP(J18,S61:T69,2))</f>
        <v>4</v>
      </c>
      <c r="M18" s="15" t="s">
        <v>3</v>
      </c>
      <c r="N18" s="87">
        <f>SUM(N8:N17)</f>
        <v>36085</v>
      </c>
      <c r="O18" s="4"/>
      <c r="P18" s="10"/>
      <c r="Q18" s="18"/>
    </row>
    <row r="19" spans="1:17" ht="12.75" customHeight="1">
      <c r="A19" s="18"/>
      <c r="B19" s="18"/>
      <c r="C19" s="18"/>
      <c r="D19" s="18"/>
      <c r="E19" s="18"/>
      <c r="F19" s="18"/>
      <c r="G19" s="18"/>
      <c r="H19" s="483" t="s">
        <v>69</v>
      </c>
      <c r="I19" s="483"/>
      <c r="J19" s="27">
        <f>J18/L18</f>
        <v>766.75</v>
      </c>
      <c r="K19" s="17" t="s">
        <v>70</v>
      </c>
      <c r="L19" s="28">
        <f>N18/L18</f>
        <v>9021.25</v>
      </c>
      <c r="M19" s="15" t="s">
        <v>4</v>
      </c>
      <c r="N19" s="88">
        <v>12</v>
      </c>
      <c r="O19" s="4" t="s">
        <v>71</v>
      </c>
      <c r="P19" s="29" t="s">
        <v>263</v>
      </c>
      <c r="Q19" s="18"/>
    </row>
    <row r="20" spans="1:17" ht="12.75" customHeight="1">
      <c r="A20" s="18"/>
      <c r="B20" s="18"/>
      <c r="C20" s="18"/>
      <c r="D20" s="18"/>
      <c r="E20" s="18"/>
      <c r="F20" s="107"/>
      <c r="G20" s="107"/>
      <c r="H20" s="84"/>
      <c r="I20" s="107"/>
      <c r="J20" s="474" t="s">
        <v>273</v>
      </c>
      <c r="K20" s="475"/>
      <c r="L20" s="277"/>
      <c r="M20" s="107"/>
      <c r="N20" s="107"/>
      <c r="O20" s="107"/>
      <c r="P20" s="107"/>
      <c r="Q20" s="18"/>
    </row>
    <row r="21" spans="1:30" ht="12.75" customHeight="1">
      <c r="A21" s="18"/>
      <c r="B21" s="18"/>
      <c r="C21" s="18"/>
      <c r="D21" s="18"/>
      <c r="E21" s="18"/>
      <c r="F21" s="18"/>
      <c r="G21" s="18"/>
      <c r="H21" s="18"/>
      <c r="I21" s="18"/>
      <c r="J21" s="18"/>
      <c r="K21" s="18"/>
      <c r="L21" s="18"/>
      <c r="M21" s="18"/>
      <c r="N21" s="18"/>
      <c r="O21" s="18"/>
      <c r="P21" s="18"/>
      <c r="Q21" s="18"/>
      <c r="W21" t="s">
        <v>308</v>
      </c>
      <c r="X21" t="s">
        <v>308</v>
      </c>
      <c r="Y21" s="7" t="s">
        <v>310</v>
      </c>
      <c r="Z21" t="s">
        <v>312</v>
      </c>
      <c r="AA21" s="20" t="s">
        <v>312</v>
      </c>
      <c r="AB21" s="20" t="s">
        <v>37</v>
      </c>
      <c r="AC21" s="7" t="s">
        <v>37</v>
      </c>
      <c r="AD21" t="s">
        <v>37</v>
      </c>
    </row>
    <row r="22" spans="1:30" ht="12.75" customHeight="1">
      <c r="A22" s="18"/>
      <c r="B22" s="18"/>
      <c r="C22" s="31"/>
      <c r="D22" s="202"/>
      <c r="E22" s="32"/>
      <c r="F22" s="33" t="s">
        <v>75</v>
      </c>
      <c r="G22" s="33" t="s">
        <v>34</v>
      </c>
      <c r="H22" s="13" t="s">
        <v>76</v>
      </c>
      <c r="I22" s="13" t="s">
        <v>34</v>
      </c>
      <c r="J22" s="13" t="s">
        <v>77</v>
      </c>
      <c r="K22" s="89" t="s">
        <v>42</v>
      </c>
      <c r="L22" s="13" t="s">
        <v>42</v>
      </c>
      <c r="M22" s="33" t="s">
        <v>78</v>
      </c>
      <c r="N22" s="13" t="s">
        <v>76</v>
      </c>
      <c r="O22" s="13" t="s">
        <v>79</v>
      </c>
      <c r="P22" s="13" t="s">
        <v>80</v>
      </c>
      <c r="Q22" s="18"/>
      <c r="W22" t="s">
        <v>37</v>
      </c>
      <c r="X22" t="s">
        <v>37</v>
      </c>
      <c r="Y22" s="7" t="s">
        <v>311</v>
      </c>
      <c r="Z22" t="s">
        <v>37</v>
      </c>
      <c r="AA22" s="20" t="s">
        <v>37</v>
      </c>
      <c r="AB22" s="20" t="s">
        <v>126</v>
      </c>
      <c r="AC22" s="7" t="s">
        <v>126</v>
      </c>
      <c r="AD22" t="s">
        <v>310</v>
      </c>
    </row>
    <row r="23" spans="1:30" ht="12.75" customHeight="1">
      <c r="A23" s="18"/>
      <c r="B23" s="18"/>
      <c r="C23" s="34"/>
      <c r="D23" s="203"/>
      <c r="E23" s="35"/>
      <c r="F23" s="36"/>
      <c r="G23" s="37" t="s">
        <v>82</v>
      </c>
      <c r="H23" s="38" t="s">
        <v>83</v>
      </c>
      <c r="I23" s="38" t="s">
        <v>30</v>
      </c>
      <c r="J23" s="38"/>
      <c r="K23" s="90"/>
      <c r="L23" s="38" t="s">
        <v>84</v>
      </c>
      <c r="M23" s="36" t="s">
        <v>37</v>
      </c>
      <c r="N23" s="38" t="s">
        <v>83</v>
      </c>
      <c r="O23" s="38" t="s">
        <v>85</v>
      </c>
      <c r="P23" s="38" t="s">
        <v>37</v>
      </c>
      <c r="Q23" s="18"/>
      <c r="V23" t="s">
        <v>307</v>
      </c>
      <c r="W23" s="65" t="s">
        <v>302</v>
      </c>
      <c r="X23" t="s">
        <v>309</v>
      </c>
      <c r="Z23" t="s">
        <v>302</v>
      </c>
      <c r="AA23" s="20" t="s">
        <v>126</v>
      </c>
      <c r="AB23" s="20" t="s">
        <v>302</v>
      </c>
      <c r="AC23" s="7" t="s">
        <v>313</v>
      </c>
      <c r="AD23" t="s">
        <v>314</v>
      </c>
    </row>
    <row r="24" spans="1:30" ht="15">
      <c r="A24" s="18"/>
      <c r="B24" s="111" t="s">
        <v>87</v>
      </c>
      <c r="C24" s="40" t="s">
        <v>34</v>
      </c>
      <c r="D24" s="23" t="s">
        <v>280</v>
      </c>
      <c r="E24" s="23">
        <f>C25+0.1</f>
        <v>4.1</v>
      </c>
      <c r="F24" s="294" t="str">
        <f>Y24</f>
        <v>4.1 (test comp.)</v>
      </c>
      <c r="G24" s="41"/>
      <c r="H24" s="167">
        <f>'random numbers'!B13</f>
        <v>0.5543181300163269</v>
      </c>
      <c r="I24" s="56">
        <f>$L$19</f>
        <v>9021.25</v>
      </c>
      <c r="J24" s="42">
        <f>H24*I24</f>
        <v>5000.642430409789</v>
      </c>
      <c r="K24" s="23" t="str">
        <f>VLOOKUP(10000000,$AJ$81:$AK$90,2)</f>
        <v>Lane 2</v>
      </c>
      <c r="L24" s="38" t="str">
        <f>VLOOKUP(K24,$D$8:$G$17,3)</f>
        <v>second</v>
      </c>
      <c r="M24" s="91">
        <f>VLOOKUP(K24,$AG$81:$AJ$90,4)</f>
        <v>176732.3575695902</v>
      </c>
      <c r="N24" s="167">
        <f>'random numbers'!B30</f>
        <v>0.3719702959060669</v>
      </c>
      <c r="O24" s="260">
        <f>$N$19</f>
        <v>12</v>
      </c>
      <c r="P24" s="43">
        <f>IF(O24="","",AD24)</f>
        <v>4.591673254966736</v>
      </c>
      <c r="Q24" s="18"/>
      <c r="V24">
        <f>$E$24</f>
        <v>4.1</v>
      </c>
      <c r="W24" s="167">
        <f>'random numbers'!B158</f>
        <v>0.20802223682403564</v>
      </c>
      <c r="X24" t="str">
        <f>IF(W24&lt;0.5,"Y","N")</f>
        <v>Y</v>
      </c>
      <c r="Y24" t="str">
        <f>IF(X24="Y",CONCATENATE(V24," (test comp.)"),V24)</f>
        <v>4.1 (test comp.)</v>
      </c>
      <c r="Z24" s="167">
        <f>'random numbers'!B190</f>
        <v>0.9055339097976685</v>
      </c>
      <c r="AA24" s="302">
        <f>IF(Z24&lt;0.5,(($N$19/2)-2),(($N$19/2)+2))</f>
        <v>8</v>
      </c>
      <c r="AB24" s="304">
        <f aca="true" t="shared" si="1" ref="AB24:AB40">N24</f>
        <v>0.3719702959060669</v>
      </c>
      <c r="AC24" s="303">
        <f>(($N$19-1)*AB24)+0.5</f>
        <v>4.591673254966736</v>
      </c>
      <c r="AD24">
        <f>IF(M24=M26,AA24,AC24)</f>
        <v>4.591673254966736</v>
      </c>
    </row>
    <row r="25" spans="1:30" ht="15">
      <c r="A25" s="18"/>
      <c r="B25" s="111">
        <v>1</v>
      </c>
      <c r="C25" s="280">
        <v>4</v>
      </c>
      <c r="D25" s="23" t="s">
        <v>280</v>
      </c>
      <c r="E25" s="23">
        <f>C25+0.2</f>
        <v>4.2</v>
      </c>
      <c r="F25" s="294">
        <f>Y25</f>
        <v>4.2</v>
      </c>
      <c r="G25" s="46">
        <f>$J$19</f>
        <v>766.75</v>
      </c>
      <c r="H25" s="167">
        <f>'random numbers'!B14</f>
        <v>0.1804715394973755</v>
      </c>
      <c r="I25" s="47">
        <f>$L$19</f>
        <v>9021.25</v>
      </c>
      <c r="J25" s="42">
        <f>H25*I25</f>
        <v>1628.0788756906986</v>
      </c>
      <c r="K25" s="23" t="str">
        <f>VLOOKUP(10000000,$AN$81:$AO$90,2)</f>
        <v>Lane 1</v>
      </c>
      <c r="L25" s="38" t="str">
        <f>VLOOKUP(K25,$D$8:$G$17,3)</f>
        <v>first</v>
      </c>
      <c r="M25" s="91">
        <f>VLOOKUP(K25,$AK$81:$AN$90,4)</f>
        <v>180871.9211243093</v>
      </c>
      <c r="N25" s="167">
        <f>'random numbers'!B31</f>
        <v>0.4426944851875305</v>
      </c>
      <c r="O25" s="260">
        <f>$N$19</f>
        <v>12</v>
      </c>
      <c r="P25" s="43">
        <f>IF(O25="","",AD25)</f>
        <v>5.369639337062836</v>
      </c>
      <c r="Q25" s="18"/>
      <c r="V25">
        <f>$E$25</f>
        <v>4.2</v>
      </c>
      <c r="X25" t="str">
        <f>IF(W24&gt;0.5,"Y","N")</f>
        <v>N</v>
      </c>
      <c r="Y25">
        <f>IF(X25="Y",CONCATENATE(V25," (test comp.)"),V25)</f>
        <v>4.2</v>
      </c>
      <c r="AA25" s="302">
        <f>IF(Z24&gt;=0.5,(($N$19/2)-2),(($N$19/2)+2))</f>
        <v>4</v>
      </c>
      <c r="AB25" s="304">
        <f t="shared" si="1"/>
        <v>0.4426944851875305</v>
      </c>
      <c r="AC25" s="303">
        <f>(($N$19-1)*AB25)+0.5</f>
        <v>5.369639337062836</v>
      </c>
      <c r="AD25">
        <f>IF(M25=M26,AA25,AC25)</f>
        <v>5.369639337062836</v>
      </c>
    </row>
    <row r="26" spans="1:29" ht="15">
      <c r="A26" s="18"/>
      <c r="B26" s="111"/>
      <c r="C26" s="228"/>
      <c r="D26" s="23"/>
      <c r="E26" s="461">
        <f>AL62</f>
      </c>
      <c r="F26" s="462"/>
      <c r="G26" s="284"/>
      <c r="H26" s="167"/>
      <c r="I26" s="42"/>
      <c r="J26" s="42"/>
      <c r="K26" s="23">
        <f>IF(AE62=0,"",(IF(AG62=0.1,K24,(IF(AG62=0.2,K25,"")))))</f>
      </c>
      <c r="L26" s="38">
        <f>IF(AE62=0,"",(IF(AG62=0.1,L24,(IF(AG62=0.2,L25,"")))))</f>
      </c>
      <c r="M26" s="91">
        <f>IF(AE62=0,"",(IF(AG62=0.1,M24,(IF(AG62=0.2,M25,"")))))</f>
      </c>
      <c r="N26" s="167"/>
      <c r="O26" s="260">
        <f>IF(M26="","","Core 0.5 from Left Edge and 0.5 from Right Edge")</f>
      </c>
      <c r="P26" s="43"/>
      <c r="Q26" s="18"/>
      <c r="AA26" s="302"/>
      <c r="AB26" s="304"/>
      <c r="AC26" s="303"/>
    </row>
    <row r="27" spans="1:30" ht="15">
      <c r="A27" s="18"/>
      <c r="B27" s="111">
        <v>1</v>
      </c>
      <c r="C27" s="40" t="s">
        <v>34</v>
      </c>
      <c r="D27" s="23" t="s">
        <v>280</v>
      </c>
      <c r="E27" s="23">
        <f>IF(C28="","",C28+0.1)</f>
        <v>5.1</v>
      </c>
      <c r="F27" s="294" t="str">
        <f>Y27</f>
        <v>5.1 (test comp.)</v>
      </c>
      <c r="G27" s="41"/>
      <c r="H27" s="167">
        <f>'random numbers'!B16</f>
        <v>0.6718127727508545</v>
      </c>
      <c r="I27" s="42">
        <f>IF($L$18&gt;1,$L$19,"")</f>
        <v>9021.25</v>
      </c>
      <c r="J27" s="42">
        <f>IF(I27="","",H27*I27)</f>
        <v>6060.590976178646</v>
      </c>
      <c r="K27" s="23" t="str">
        <f>IF($L$18&lt;2,"",VLOOKUP(10000000,$AJ$92:$AK$101,2))</f>
        <v>Lane 5</v>
      </c>
      <c r="L27" s="38" t="str">
        <f>IF(K27="","",VLOOKUP(K27,$D$8:$G$17,3))</f>
        <v>fifth</v>
      </c>
      <c r="M27" s="91">
        <f>IF(K27="","",VLOOKUP(K27,$AG$92:$AJ$101,4))</f>
        <v>164341.15902382135</v>
      </c>
      <c r="N27" s="167">
        <f>'random numbers'!B33</f>
        <v>0.33588117361068726</v>
      </c>
      <c r="O27" s="260">
        <f>IF($L$18&gt;1,$N$19,"")</f>
        <v>12</v>
      </c>
      <c r="P27" s="43">
        <f>IF(O27="","",AD27)</f>
        <v>4.19469290971756</v>
      </c>
      <c r="Q27" s="18"/>
      <c r="V27">
        <f>E27</f>
        <v>5.1</v>
      </c>
      <c r="W27" s="167">
        <f>'random numbers'!B159</f>
        <v>0.27874642610549927</v>
      </c>
      <c r="X27" t="str">
        <f>IF(W27&lt;0.5,"Y","N")</f>
        <v>Y</v>
      </c>
      <c r="Y27" t="str">
        <f>IF(X27="Y",CONCATENATE(V27," (test comp.)"),V27)</f>
        <v>5.1 (test comp.)</v>
      </c>
      <c r="Z27" s="167">
        <f>'random numbers'!B191</f>
        <v>0.34346848726272583</v>
      </c>
      <c r="AA27" s="302">
        <f>IF(Z27&lt;0.5,(($N$19/2)-2),(($N$19/2)+2))</f>
        <v>4</v>
      </c>
      <c r="AB27" s="304">
        <f t="shared" si="1"/>
        <v>0.33588117361068726</v>
      </c>
      <c r="AC27" s="303">
        <f>(($N$19-1)*AB27)+0.5</f>
        <v>4.19469290971756</v>
      </c>
      <c r="AD27">
        <f>IF(M27=M29,AA27,AC27)</f>
        <v>4.19469290971756</v>
      </c>
    </row>
    <row r="28" spans="1:30" ht="15">
      <c r="A28" s="18"/>
      <c r="B28" s="18"/>
      <c r="C28" s="281">
        <f>IF($L$18&gt;B27,C25+1,"")</f>
        <v>5</v>
      </c>
      <c r="D28" s="23" t="s">
        <v>280</v>
      </c>
      <c r="E28" s="23">
        <f>IF(C28="","",C28+0.2)</f>
        <v>5.2</v>
      </c>
      <c r="F28" s="294">
        <f>Y28</f>
        <v>5.2</v>
      </c>
      <c r="G28" s="46">
        <f>IF($L$18&gt;1,$J$19,"")</f>
        <v>766.75</v>
      </c>
      <c r="H28" s="167">
        <f>'random numbers'!B17</f>
        <v>0.8279876112937927</v>
      </c>
      <c r="I28" s="42">
        <f>IF($L$18&gt;1,$L$19,"")</f>
        <v>9021.25</v>
      </c>
      <c r="J28" s="42">
        <f>IF(I27="","",H28*I28)</f>
        <v>7469.483238384128</v>
      </c>
      <c r="K28" s="23" t="str">
        <f>IF($L$18&lt;2,"",VLOOKUP(10000000,$AN$92:$AO$101,2))</f>
        <v>Lane 6</v>
      </c>
      <c r="L28" s="38" t="str">
        <f>IF(K28="","",VLOOKUP(K28,$D$8:$G$17,3))</f>
        <v>sixth</v>
      </c>
      <c r="M28" s="91">
        <f>IF(K28="","",VLOOKUP(K28,$AK$92:$AN$101,4))</f>
        <v>162185.26676161587</v>
      </c>
      <c r="N28" s="167">
        <f>'random numbers'!B34</f>
        <v>0.8165410757064819</v>
      </c>
      <c r="O28" s="260">
        <f>IF($L$18&gt;1,$N$19,"")</f>
        <v>12</v>
      </c>
      <c r="P28" s="43">
        <f>IF(O28="","",AD28)</f>
        <v>9.481951832771301</v>
      </c>
      <c r="Q28" s="18"/>
      <c r="V28">
        <f>E28</f>
        <v>5.2</v>
      </c>
      <c r="X28" t="str">
        <f>IF(W27&gt;0.5,"Y","N")</f>
        <v>N</v>
      </c>
      <c r="Y28">
        <f>IF(X28="Y",CONCATENATE(V28," (test comp.)"),V28)</f>
        <v>5.2</v>
      </c>
      <c r="AA28" s="302">
        <f>IF(Z27&gt;=0.5,(($N$19/2)-2),(($N$19/2)+2))</f>
        <v>8</v>
      </c>
      <c r="AB28" s="304">
        <f t="shared" si="1"/>
        <v>0.8165410757064819</v>
      </c>
      <c r="AC28" s="303">
        <f>(($N$19-1)*AB28)+0.5</f>
        <v>9.481951832771301</v>
      </c>
      <c r="AD28">
        <f>IF(M28=M29,AA28,AC28)</f>
        <v>9.481951832771301</v>
      </c>
    </row>
    <row r="29" spans="1:29" ht="15">
      <c r="A29" s="18"/>
      <c r="B29" s="18"/>
      <c r="C29" s="45"/>
      <c r="D29" s="23"/>
      <c r="E29" s="461">
        <f>AL63</f>
      </c>
      <c r="F29" s="462"/>
      <c r="G29" s="284"/>
      <c r="H29" s="167"/>
      <c r="I29" s="42"/>
      <c r="J29" s="42"/>
      <c r="K29" s="23">
        <f>IF(AE63=0,"",(IF(AG63=0.1,K27,(IF(AG63=0.2,K28,"")))))</f>
      </c>
      <c r="L29" s="38">
        <f>IF(AE63=0,"",(IF(AG63=0.1,L27,(IF(AG63=0.2,L28,"")))))</f>
      </c>
      <c r="M29" s="91">
        <f>IF(AE63=0,"",(IF(AG63=0.1,M27,(IF(AG63=0.2,M28,"")))))</f>
      </c>
      <c r="N29" s="167"/>
      <c r="O29" s="260">
        <f>IF(M29="","","Core 0.5 from Left Edge and 0.5 from Right Edge")</f>
      </c>
      <c r="P29" s="43"/>
      <c r="Q29" s="18"/>
      <c r="AA29" s="302"/>
      <c r="AB29" s="304"/>
      <c r="AC29" s="303"/>
    </row>
    <row r="30" spans="1:30" ht="15">
      <c r="A30" s="18"/>
      <c r="B30" s="111">
        <f>IF($K$18&gt;B27,B27+1," ")</f>
        <v>2</v>
      </c>
      <c r="C30" s="40" t="s">
        <v>34</v>
      </c>
      <c r="D30" s="23" t="s">
        <v>280</v>
      </c>
      <c r="E30" s="23">
        <f>IF(C31="","",C31+0.1)</f>
        <v>6.1</v>
      </c>
      <c r="F30" s="294" t="str">
        <f>Y30</f>
        <v>6.1 (test comp.)</v>
      </c>
      <c r="G30" s="41"/>
      <c r="H30" s="167">
        <f>'random numbers'!B19</f>
        <v>0.23387819528579712</v>
      </c>
      <c r="I30" s="42">
        <f>IF($L$18&gt;2,$L$19,"")</f>
        <v>9021.25</v>
      </c>
      <c r="J30" s="42">
        <f>IF(I30="","",H30*I30)</f>
        <v>2109.8736692219973</v>
      </c>
      <c r="K30" s="23" t="str">
        <f>IF($L$18&lt;3,"",VLOOKUP(10000000,$AJ$103:$AK$112,2))</f>
        <v>Lane 6</v>
      </c>
      <c r="L30" s="38" t="str">
        <f>IF(K30="","",VLOOKUP(K30,$D$8:$G$17,3))</f>
        <v>sixth</v>
      </c>
      <c r="M30" s="91">
        <f>IF(K30="","",VLOOKUP(K30,$AG$103:$AJ$112,4))</f>
        <v>158523.626330778</v>
      </c>
      <c r="N30" s="167">
        <f>'random numbers'!B36</f>
        <v>0.9660797119140625</v>
      </c>
      <c r="O30" s="260">
        <f>IF($L$18&gt;2,$N$19,"")</f>
        <v>12</v>
      </c>
      <c r="P30" s="43">
        <f>IF(O30="","",AD30)</f>
        <v>11.126876831054688</v>
      </c>
      <c r="Q30" s="18"/>
      <c r="V30">
        <f>E30</f>
        <v>6.1</v>
      </c>
      <c r="W30" s="167">
        <f>'random numbers'!B160</f>
        <v>0.3321530818939209</v>
      </c>
      <c r="X30" t="str">
        <f>IF(W30&lt;0.5,"Y","N")</f>
        <v>Y</v>
      </c>
      <c r="Y30" t="str">
        <f>IF(X30="Y",CONCATENATE(V30," (test comp.)"),V30)</f>
        <v>6.1 (test comp.)</v>
      </c>
      <c r="Z30" s="167">
        <f>'random numbers'!B192</f>
        <v>0.02966475486755371</v>
      </c>
      <c r="AA30" s="302">
        <f>IF(Z30&lt;0.5,(($N$19/2)-2),(($N$19/2)+2))</f>
        <v>4</v>
      </c>
      <c r="AB30" s="304">
        <f t="shared" si="1"/>
        <v>0.9660797119140625</v>
      </c>
      <c r="AC30" s="303">
        <f>(($N$19-1)*AB30)+0.5</f>
        <v>11.126876831054688</v>
      </c>
      <c r="AD30">
        <f>IF(M30=M32,AA30,AC30)</f>
        <v>11.126876831054688</v>
      </c>
    </row>
    <row r="31" spans="1:30" ht="15">
      <c r="A31" s="18"/>
      <c r="B31" s="111">
        <f>B30</f>
        <v>2</v>
      </c>
      <c r="C31" s="281">
        <f>IF($L$18&gt;B31,C28+1,"")</f>
        <v>6</v>
      </c>
      <c r="D31" s="23" t="s">
        <v>280</v>
      </c>
      <c r="E31" s="23">
        <f>IF(C31="","",C31+0.2)</f>
        <v>6.2</v>
      </c>
      <c r="F31" s="294">
        <f>Y31</f>
        <v>6.2</v>
      </c>
      <c r="G31" s="46">
        <f>IF($L$18&gt;2,$J$19,"")</f>
        <v>766.75</v>
      </c>
      <c r="H31" s="167">
        <f>'random numbers'!B20</f>
        <v>0.14179134368896484</v>
      </c>
      <c r="I31" s="47">
        <f>IF($L$18&gt;2,$L$19,"")</f>
        <v>9021.25</v>
      </c>
      <c r="J31" s="42">
        <f>IF(I30="","",H31*I31)</f>
        <v>1279.135159254074</v>
      </c>
      <c r="K31" s="23" t="str">
        <f>IF($L$18&lt;3,"",VLOOKUP(10000000,$AN$103:$AO$112,2))</f>
        <v>Lane 6</v>
      </c>
      <c r="L31" s="38" t="str">
        <f>IF(K31="","",VLOOKUP(K31,$D$8:$G$17,3))</f>
        <v>sixth</v>
      </c>
      <c r="M31" s="91">
        <f>IF(K31="","",VLOOKUP(K31,$AK$103:$AN$112,4))</f>
        <v>159354.36484074593</v>
      </c>
      <c r="N31" s="167">
        <f>'random numbers'!B37</f>
        <v>0.6603662371635437</v>
      </c>
      <c r="O31" s="260">
        <f>IF($L$18&gt;2,$N$19,"")</f>
        <v>12</v>
      </c>
      <c r="P31" s="43">
        <f>IF(O31="","",AD31)</f>
        <v>7.764028608798981</v>
      </c>
      <c r="Q31" s="18"/>
      <c r="V31">
        <f>E31</f>
        <v>6.2</v>
      </c>
      <c r="X31" t="str">
        <f>IF(W30&gt;0.5,"Y","N")</f>
        <v>N</v>
      </c>
      <c r="Y31">
        <f>IF(X31="Y",CONCATENATE(V31," (test comp.)"),V31)</f>
        <v>6.2</v>
      </c>
      <c r="AA31" s="302">
        <f>IF(Z30&gt;=0.5,(($N$19/2)-2),(($N$19/2)+2))</f>
        <v>8</v>
      </c>
      <c r="AB31" s="304">
        <f t="shared" si="1"/>
        <v>0.6603662371635437</v>
      </c>
      <c r="AC31" s="303">
        <f>(($N$19-1)*AB31)+0.5</f>
        <v>7.764028608798981</v>
      </c>
      <c r="AD31">
        <f>IF(M31=M32,AA31,AC31)</f>
        <v>7.764028608798981</v>
      </c>
    </row>
    <row r="32" spans="1:29" ht="15">
      <c r="A32" s="18"/>
      <c r="B32" s="111"/>
      <c r="C32" s="45"/>
      <c r="D32" s="23"/>
      <c r="E32" s="461">
        <f>AL64</f>
      </c>
      <c r="F32" s="462"/>
      <c r="G32" s="284"/>
      <c r="H32" s="167"/>
      <c r="I32" s="47"/>
      <c r="J32" s="42"/>
      <c r="K32" s="23">
        <f>IF(AE64=0,"",(IF(AG64=0.1,K30,(IF(AG64=0.2,K31,"")))))</f>
      </c>
      <c r="L32" s="38">
        <f>IF(AE64=0,"",(IF(AG64=0.1,L30,(IF(AG64=0.2,L31,"")))))</f>
      </c>
      <c r="M32" s="91">
        <f>IF(AE64=0,"",(IF(AG64=0.1,M30,(IF(AG64=0.2,M31,"")))))</f>
      </c>
      <c r="N32" s="167"/>
      <c r="O32" s="260">
        <f>IF(M32="","","Core 0.5 from Left Edge and 0.5 from Right Edge")</f>
      </c>
      <c r="P32" s="43"/>
      <c r="Q32" s="18"/>
      <c r="AA32" s="302"/>
      <c r="AB32" s="304"/>
      <c r="AC32" s="303"/>
    </row>
    <row r="33" spans="1:30" ht="15">
      <c r="A33" s="18"/>
      <c r="B33" s="18"/>
      <c r="C33" s="40" t="s">
        <v>34</v>
      </c>
      <c r="D33" s="23" t="s">
        <v>280</v>
      </c>
      <c r="E33" s="23">
        <f>IF(C34="","",C34+0.1)</f>
        <v>7.1</v>
      </c>
      <c r="F33" s="294" t="str">
        <f>Y33</f>
        <v>7.1 (test comp.)</v>
      </c>
      <c r="G33" s="41"/>
      <c r="H33" s="167">
        <f>'random numbers'!B22</f>
        <v>0.12042868137359619</v>
      </c>
      <c r="I33" s="47">
        <f>IF($L$18&gt;3,$L$19,"")</f>
        <v>9021.25</v>
      </c>
      <c r="J33" s="42">
        <f>IF(I33="","",H33*I33)</f>
        <v>1086.4172418415546</v>
      </c>
      <c r="K33" s="23" t="str">
        <f>IF($L$18&lt;4,"",VLOOKUP(10000000,$AJ$114:$AK$123,2))</f>
        <v>Lane 9</v>
      </c>
      <c r="L33" s="38" t="str">
        <f>IF(K33="","",VLOOKUP(K33,$D$8:$G$17,3))</f>
        <v>nine</v>
      </c>
      <c r="M33" s="91">
        <f>IF(K33="","",VLOOKUP(K33,$AG$114:$AJ$123,4))</f>
        <v>148261.83275815845</v>
      </c>
      <c r="N33" s="167">
        <f>'random numbers'!B39</f>
        <v>0.3572438359260559</v>
      </c>
      <c r="O33" s="260">
        <f>IF($L$18&gt;3,$N$19,"")</f>
        <v>12</v>
      </c>
      <c r="P33" s="43">
        <f>IF(O33="","",AD33)</f>
        <v>4.429682195186615</v>
      </c>
      <c r="Q33" s="18"/>
      <c r="V33">
        <f>E33</f>
        <v>7.1</v>
      </c>
      <c r="W33" s="167">
        <f>'random numbers'!B161</f>
        <v>0.171933114528656</v>
      </c>
      <c r="X33" t="str">
        <f>IF(W33&lt;0.5,"Y","N")</f>
        <v>Y</v>
      </c>
      <c r="Y33" t="str">
        <f>IF(X33="Y",CONCATENATE(V33," (test comp.)"),V33)</f>
        <v>7.1 (test comp.)</v>
      </c>
      <c r="Z33" s="167">
        <f>'random numbers'!B193</f>
        <v>0.23665517568588257</v>
      </c>
      <c r="AA33" s="302">
        <f>IF(Z33&lt;0.5,(($N$19/2)-2),(($N$19/2)+2))</f>
        <v>4</v>
      </c>
      <c r="AB33" s="304">
        <f t="shared" si="1"/>
        <v>0.3572438359260559</v>
      </c>
      <c r="AC33" s="303">
        <f>(($N$19-1)*AB33)+0.5</f>
        <v>4.429682195186615</v>
      </c>
      <c r="AD33">
        <f>IF(M33=M35,AA33,AC33)</f>
        <v>4.429682195186615</v>
      </c>
    </row>
    <row r="34" spans="1:30" ht="15">
      <c r="A34" s="18"/>
      <c r="B34" s="111">
        <f>IF($K$18&gt;B31,B31+1," ")</f>
        <v>3</v>
      </c>
      <c r="C34" s="281">
        <f>IF($L$18&gt;B36,C31+1,"")</f>
        <v>7</v>
      </c>
      <c r="D34" s="23" t="s">
        <v>280</v>
      </c>
      <c r="E34" s="23">
        <f>IF(C34="","",C34+0.2)</f>
        <v>7.2</v>
      </c>
      <c r="F34" s="294">
        <f>Y34</f>
        <v>7.2</v>
      </c>
      <c r="G34" s="46">
        <f>IF($L$18&gt;3,$J$19,"")</f>
        <v>766.75</v>
      </c>
      <c r="H34" s="167">
        <f>'random numbers'!B23</f>
        <v>0.21656066179275513</v>
      </c>
      <c r="I34" s="47">
        <f>IF($L$18&gt;3,$L$19,"")</f>
        <v>9021.25</v>
      </c>
      <c r="J34" s="42">
        <f>IF(I33="","",H34*I34)</f>
        <v>1953.6478701978922</v>
      </c>
      <c r="K34" s="23" t="str">
        <f>IF($L$18&lt;4,"",VLOOKUP(10000000,$AN$114:$AO$123,2))</f>
        <v>Lane 9</v>
      </c>
      <c r="L34" s="38" t="str">
        <f>IF(K34="","",VLOOKUP(K34,$D$8:$G$17,3))</f>
        <v>nine</v>
      </c>
      <c r="M34" s="91">
        <f>IF(K34="","",VLOOKUP(K34,$AK$114:$AN$123,4))</f>
        <v>147394.6021298021</v>
      </c>
      <c r="N34" s="167">
        <f>'random numbers'!B40</f>
        <v>0.752453088760376</v>
      </c>
      <c r="O34" s="260">
        <f>IF($L$18&gt;3,$N$19,"")</f>
        <v>12</v>
      </c>
      <c r="P34" s="43">
        <f>IF(O34="","",AD34)</f>
        <v>8.776983976364136</v>
      </c>
      <c r="Q34" s="18"/>
      <c r="V34">
        <f>E34</f>
        <v>7.2</v>
      </c>
      <c r="X34" t="str">
        <f>IF(W33&gt;0.5,"Y","N")</f>
        <v>N</v>
      </c>
      <c r="Y34">
        <f>IF(X34="Y",CONCATENATE(V34," (test comp.)"),V34)</f>
        <v>7.2</v>
      </c>
      <c r="AA34" s="302">
        <f>IF(Z33&gt;=0.5,(($N$19/2)-2),(($N$19/2)+2))</f>
        <v>8</v>
      </c>
      <c r="AB34" s="304">
        <f t="shared" si="1"/>
        <v>0.752453088760376</v>
      </c>
      <c r="AC34" s="303">
        <f>(($N$19-1)*AB34)+0.5</f>
        <v>8.776983976364136</v>
      </c>
      <c r="AD34">
        <f>IF(M34=M35,AA34,AC34)</f>
        <v>8.776983976364136</v>
      </c>
    </row>
    <row r="35" spans="1:29" ht="15">
      <c r="A35" s="18"/>
      <c r="B35" s="111"/>
      <c r="C35" s="45"/>
      <c r="D35" s="23"/>
      <c r="E35" s="461">
        <f>AL65</f>
      </c>
      <c r="F35" s="462"/>
      <c r="G35" s="284"/>
      <c r="H35" s="167"/>
      <c r="I35" s="47"/>
      <c r="J35" s="42"/>
      <c r="K35" s="23">
        <f>IF(AE65=0,"",(IF(AG65=0.1,K33,(IF(AG65=0.2,K34,"")))))</f>
      </c>
      <c r="L35" s="38">
        <f>IF(AE65=0,"",(IF(AG65=0.1,L33,(IF(AG65=0.2,L34,"")))))</f>
      </c>
      <c r="M35" s="91">
        <f>IF(AE65=0,"",(IF(AG65=0.1,M33,(IF(AG65=0.2,M34,"")))))</f>
      </c>
      <c r="N35" s="167"/>
      <c r="O35" s="260">
        <f>IF(M35="","","Core 0.5 from Left Edge and 0.5 from Right Edge")</f>
      </c>
      <c r="P35" s="43"/>
      <c r="Q35" s="18"/>
      <c r="AA35" s="302"/>
      <c r="AB35" s="304"/>
      <c r="AC35" s="303"/>
    </row>
    <row r="36" spans="1:30" ht="15">
      <c r="A36" s="18"/>
      <c r="B36" s="111">
        <f>B34</f>
        <v>3</v>
      </c>
      <c r="C36" s="40" t="s">
        <v>34</v>
      </c>
      <c r="D36" s="23" t="s">
        <v>280</v>
      </c>
      <c r="E36" s="23">
        <f>IF(C37="","",C37+0.1)</f>
      </c>
      <c r="F36" s="294">
        <f>Y36</f>
      </c>
      <c r="G36" s="282"/>
      <c r="H36" s="167">
        <f>'random numbers'!B25</f>
        <v>0.7933525443077087</v>
      </c>
      <c r="I36" s="47">
        <f>IF($L$18&gt;4,$L$19,"")</f>
      </c>
      <c r="J36" s="42">
        <f>IF(I36="","",H36*I36)</f>
      </c>
      <c r="K36" s="23">
        <f>IF($L$18&lt;5,"",VLOOKUP(10000000,$AJ$125:$AK$134,2))</f>
      </c>
      <c r="L36" s="38">
        <f>IF(K36="","",VLOOKUP(K36,$D$8:$G$17,3))</f>
      </c>
      <c r="M36" s="91">
        <f>IF(K36="","",VLOOKUP(K36,$AG$125:$AJ$134,4))</f>
      </c>
      <c r="N36" s="167">
        <f>'random numbers'!B42</f>
        <v>0.3892878293991089</v>
      </c>
      <c r="O36" s="260">
        <f>IF($L$18&gt;4,$N$19,"")</f>
      </c>
      <c r="P36" s="43">
        <f>IF(O36="","",AD36)</f>
      </c>
      <c r="Q36" s="18"/>
      <c r="V36" s="53">
        <f>E36</f>
      </c>
      <c r="W36" s="305">
        <f>'random numbers'!B162</f>
        <v>0.6525930166244507</v>
      </c>
      <c r="X36" t="str">
        <f>IF(W36&lt;0.5,"Y","N")</f>
        <v>N</v>
      </c>
      <c r="Y36">
        <f>IF(X36="Y",CONCATENATE(V36," (test comp.)"),V36)</f>
      </c>
      <c r="Z36" s="167">
        <f>'random numbers'!B194</f>
        <v>0.3501046895980835</v>
      </c>
      <c r="AA36" s="302">
        <f>IF(Z36&lt;0.5,(($N$19/2)-2),(($N$19/2)+2))</f>
        <v>4</v>
      </c>
      <c r="AB36" s="304">
        <f t="shared" si="1"/>
        <v>0.3892878293991089</v>
      </c>
      <c r="AC36" s="303">
        <f>(($N$19-1)*AB36)+0.5</f>
        <v>4.782166123390198</v>
      </c>
      <c r="AD36">
        <f>IF(M36=M38,AA36,AC36)</f>
        <v>4</v>
      </c>
    </row>
    <row r="37" spans="1:30" ht="15">
      <c r="A37" s="18"/>
      <c r="B37" s="18"/>
      <c r="C37" s="281">
        <f>IF($L$18&gt;B40,C34+1,"")</f>
      </c>
      <c r="D37" s="23" t="s">
        <v>280</v>
      </c>
      <c r="E37" s="23">
        <f>IF(C37="","",C37+0.2)</f>
      </c>
      <c r="F37" s="294" t="str">
        <f>Y37</f>
        <v> (test comp.)</v>
      </c>
      <c r="G37" s="283">
        <f>IF($L$18&gt;4,$J$19,"")</f>
      </c>
      <c r="H37" s="167">
        <f>'random numbers'!B26</f>
        <v>0.932209849357605</v>
      </c>
      <c r="I37" s="47">
        <f>IF($L$18&gt;4,$L$19,"")</f>
      </c>
      <c r="J37" s="42">
        <f>IF(I36="","",H37*I37)</f>
      </c>
      <c r="K37" s="23">
        <f>IF($L$18&lt;5,"",VLOOKUP(10000000,$AN$125:$AO$134,2))</f>
      </c>
      <c r="L37" s="38">
        <f>IF(K37="","",VLOOKUP(K37,$D$8:$G$17,3))</f>
      </c>
      <c r="M37" s="91">
        <f>IF(K37="","",VLOOKUP(K37,$AK$125:$AN$134,4))</f>
      </c>
      <c r="N37" s="167">
        <f>'random numbers'!B43</f>
        <v>0.656321108341217</v>
      </c>
      <c r="O37" s="260">
        <f>IF($L$18&gt;4,$N$19,"")</f>
      </c>
      <c r="P37" s="43">
        <f>IF(O37="","",AD37)</f>
      </c>
      <c r="Q37" s="18"/>
      <c r="V37" s="53">
        <f>E37</f>
      </c>
      <c r="X37" t="str">
        <f>IF(W36&gt;0.5,"Y","N")</f>
        <v>Y</v>
      </c>
      <c r="Y37" t="str">
        <f>IF(X37="Y",CONCATENATE(V37," (test comp.)"),V37)</f>
        <v> (test comp.)</v>
      </c>
      <c r="AA37" s="302">
        <f>IF(Z36&gt;=0.5,(($N$19/2)-2),(($N$19/2)+2))</f>
        <v>8</v>
      </c>
      <c r="AB37" s="304">
        <f t="shared" si="1"/>
        <v>0.656321108341217</v>
      </c>
      <c r="AC37" s="303">
        <f>(($N$19-1)*AB37)+0.5</f>
        <v>7.7195321917533875</v>
      </c>
      <c r="AD37">
        <f>IF(M37=M38,AA37,AC37)</f>
        <v>8</v>
      </c>
    </row>
    <row r="38" spans="1:29" ht="15">
      <c r="A38" s="18"/>
      <c r="B38" s="18"/>
      <c r="C38" s="45"/>
      <c r="D38" s="23"/>
      <c r="E38" s="461">
        <f>AL66</f>
      </c>
      <c r="F38" s="462"/>
      <c r="G38" s="285"/>
      <c r="H38" s="167"/>
      <c r="I38" s="47"/>
      <c r="J38" s="42"/>
      <c r="K38" s="23">
        <f>IF(AE66=0,"",(IF(AG66=0.1,K36,(IF(AG66=0.2,K37,"")))))</f>
      </c>
      <c r="L38" s="38">
        <f>IF(AE66=0,"",(IF(AG66=0.1,L36,(IF(AG66=0.2,L37,"")))))</f>
      </c>
      <c r="M38" s="91">
        <f>IF(AE66=0,"",(IF(AG66=0.1,M36,(IF(AG66=0.2,M37,"")))))</f>
      </c>
      <c r="N38" s="167"/>
      <c r="O38" s="260">
        <f>IF(M38="","","Core 0.5 from Left Edge and 0.5 from Right Edge")</f>
      </c>
      <c r="P38" s="43"/>
      <c r="Q38" s="18"/>
      <c r="AA38" s="302"/>
      <c r="AB38" s="304"/>
      <c r="AC38" s="303"/>
    </row>
    <row r="39" spans="1:30" ht="15">
      <c r="A39" s="18"/>
      <c r="B39" s="111">
        <f>IF($K$18&gt;B36,B36+1," ")</f>
        <v>4</v>
      </c>
      <c r="C39" s="40" t="s">
        <v>34</v>
      </c>
      <c r="D39" s="23" t="s">
        <v>280</v>
      </c>
      <c r="E39" s="23">
        <f>IF(C40="","",C40+0.1)</f>
      </c>
      <c r="F39" s="294">
        <f>Y39</f>
      </c>
      <c r="G39" s="41"/>
      <c r="H39" s="167">
        <f>'random numbers'!B28</f>
        <v>0.030932903289794922</v>
      </c>
      <c r="I39" s="47">
        <f>IF($L$18&gt;5,$L$19,"")</f>
      </c>
      <c r="J39" s="42">
        <f>IF(I39="","",H39*I39)</f>
      </c>
      <c r="K39" s="23">
        <f>IF($L$18&lt;6,"",VLOOKUP(10000000,$AJ$136:$AK$145,2))</f>
      </c>
      <c r="L39" s="38">
        <f>IF(K39="","",VLOOKUP(K39,$D$8:$G$17,3))</f>
      </c>
      <c r="M39" s="91">
        <f>IF(K39="","",VLOOKUP(K39,$AG$136:$AJ$145,4))</f>
      </c>
      <c r="N39" s="167">
        <f>'random numbers'!B45</f>
        <v>0.5241000056266785</v>
      </c>
      <c r="O39" s="260">
        <f>IF($L$18&gt;5,$N$19,"")</f>
      </c>
      <c r="P39" s="43">
        <f>IF(O39="","",AD39)</f>
      </c>
      <c r="Q39" s="18"/>
      <c r="V39">
        <f>E39</f>
      </c>
      <c r="W39" s="167">
        <f>'random numbers'!B163</f>
        <v>0.9450340867042542</v>
      </c>
      <c r="X39" t="str">
        <f>IF(W39&lt;0.5,"Y","N")</f>
        <v>N</v>
      </c>
      <c r="Y39">
        <f>IF(X39="Y",CONCATENATE(V39," (test comp.)"),V39)</f>
      </c>
      <c r="Z39" s="167">
        <f>'random numbers'!B195</f>
        <v>0.2753353714942932</v>
      </c>
      <c r="AA39" s="302">
        <f>IF(Z39&lt;0.5,(($N$19/2)-2),(($N$19/2)+2))</f>
        <v>4</v>
      </c>
      <c r="AB39" s="304">
        <f t="shared" si="1"/>
        <v>0.5241000056266785</v>
      </c>
      <c r="AC39" s="303">
        <f>(($N$19-1)*AB39)+0.5</f>
        <v>6.265100061893463</v>
      </c>
      <c r="AD39">
        <f>IF(M39=M41,AA39,AC39)</f>
        <v>4</v>
      </c>
    </row>
    <row r="40" spans="1:30" ht="15">
      <c r="A40" s="18"/>
      <c r="B40" s="111">
        <f>B39</f>
        <v>4</v>
      </c>
      <c r="C40" s="281">
        <f>IF($L$18&gt;B44,C37+1,"")</f>
      </c>
      <c r="D40" s="23" t="s">
        <v>280</v>
      </c>
      <c r="E40" s="23">
        <f>IF(C40="","",C40+0.2)</f>
      </c>
      <c r="F40" s="294" t="str">
        <f>Y40</f>
        <v> (test comp.)</v>
      </c>
      <c r="G40" s="46">
        <f>IF($L$18&gt;5,$J$19,"")</f>
      </c>
      <c r="H40" s="167">
        <f>'random numbers'!B29</f>
        <v>0.7506272196769714</v>
      </c>
      <c r="I40" s="47">
        <f>IF($L$18&gt;5,$L$19,"")</f>
      </c>
      <c r="J40" s="47">
        <f>IF(I39="","",H40*I40)</f>
      </c>
      <c r="K40" s="23">
        <f>IF($L$18&lt;6,"",VLOOKUP(10000000,$AN$136:$AO$145,2))</f>
      </c>
      <c r="L40" s="38">
        <f>IF(K40="","",VLOOKUP(K40,$D$8:$G$17,3))</f>
      </c>
      <c r="M40" s="91">
        <f>IF(K40="","",VLOOKUP(K40,$AK$136:$AN$145,4))</f>
      </c>
      <c r="N40" s="167">
        <f>'random numbers'!B46</f>
        <v>0.5174638032913208</v>
      </c>
      <c r="O40" s="261">
        <f>IF($L$18&gt;5,$N$19,"")</f>
      </c>
      <c r="P40" s="51">
        <f>IF(O40="","",AD40)</f>
      </c>
      <c r="Q40" s="18"/>
      <c r="V40">
        <f>E40</f>
      </c>
      <c r="X40" t="str">
        <f>IF(W39&gt;0.5,"Y","N")</f>
        <v>Y</v>
      </c>
      <c r="Y40" t="str">
        <f>IF(X40="Y",CONCATENATE(V40," (test comp.)"),V40)</f>
        <v> (test comp.)</v>
      </c>
      <c r="AA40" s="302">
        <f>IF(Z39&gt;=0.5,(($N$19/2)-2),(($N$19/2)+2))</f>
        <v>8</v>
      </c>
      <c r="AB40" s="304">
        <f t="shared" si="1"/>
        <v>0.5174638032913208</v>
      </c>
      <c r="AC40" s="303">
        <f>(($N$19-1)*AB40)+0.5</f>
        <v>6.192101836204529</v>
      </c>
      <c r="AD40">
        <f>IF(M40=M41,AA40,AC40)</f>
        <v>8</v>
      </c>
    </row>
    <row r="41" spans="1:17" ht="15">
      <c r="A41" s="18"/>
      <c r="B41" s="111"/>
      <c r="C41" s="45"/>
      <c r="D41" s="23"/>
      <c r="E41" s="461">
        <f>AL67</f>
      </c>
      <c r="F41" s="462"/>
      <c r="G41" s="284"/>
      <c r="H41" s="167"/>
      <c r="I41" s="47"/>
      <c r="J41" s="47"/>
      <c r="K41" s="23">
        <f>IF(AE67=0,"",(IF(AG67=0.1,K39,(IF(AG67=0.2,K40,"")))))</f>
      </c>
      <c r="L41" s="23">
        <f>IF(AE67=0,"",(IF(AG67=0.1,L39,(IF(AG67=0.2,L40,"")))))</f>
      </c>
      <c r="M41" s="91">
        <f>IF(AE67=0,"",(IF(AG67=0.1,M39,(IF(AG67=0.2,M40,"")))))</f>
      </c>
      <c r="N41" s="167"/>
      <c r="O41" s="261">
        <f>IF(M41="","","Core 0.5 from Left Edge and 0.5 from Right Edge")</f>
      </c>
      <c r="P41" s="51"/>
      <c r="Q41" s="18"/>
    </row>
    <row r="42" spans="1:17" ht="15">
      <c r="A42" s="18"/>
      <c r="B42" s="18"/>
      <c r="C42" s="52"/>
      <c r="D42" s="53"/>
      <c r="E42" s="53"/>
      <c r="F42" s="54"/>
      <c r="H42" s="55"/>
      <c r="I42" s="56"/>
      <c r="J42" s="57"/>
      <c r="K42" s="58"/>
      <c r="L42" s="59"/>
      <c r="M42" s="55"/>
      <c r="N42" s="60"/>
      <c r="O42" s="60"/>
      <c r="P42" s="60"/>
      <c r="Q42" s="18"/>
    </row>
    <row r="43" spans="1:17" ht="18">
      <c r="A43" s="18"/>
      <c r="B43" s="111">
        <f>IF($K$18&gt;B40,B40+1," ")</f>
        <v>5</v>
      </c>
      <c r="C43" s="52"/>
      <c r="D43" s="61" t="s">
        <v>129</v>
      </c>
      <c r="E43" s="93"/>
      <c r="F43" s="93"/>
      <c r="G43" s="94"/>
      <c r="H43" s="262" t="s">
        <v>98</v>
      </c>
      <c r="I43" s="263"/>
      <c r="J43" s="264"/>
      <c r="K43" s="265"/>
      <c r="L43" s="265"/>
      <c r="M43" s="266"/>
      <c r="N43" s="60"/>
      <c r="O43" s="60"/>
      <c r="P43" s="60"/>
      <c r="Q43" s="18"/>
    </row>
    <row r="44" spans="1:17" ht="12.75">
      <c r="A44" s="18"/>
      <c r="B44" s="111">
        <f>B43</f>
        <v>5</v>
      </c>
      <c r="C44" s="18"/>
      <c r="D44" s="463" t="s">
        <v>115</v>
      </c>
      <c r="E44" s="464"/>
      <c r="F44" s="11" t="s">
        <v>34</v>
      </c>
      <c r="G44" s="95"/>
      <c r="H44" s="484"/>
      <c r="I44" s="485"/>
      <c r="J44" s="485"/>
      <c r="K44" s="485"/>
      <c r="L44" s="485"/>
      <c r="M44" s="486"/>
      <c r="N44" s="18"/>
      <c r="O44" s="18"/>
      <c r="P44" s="18"/>
      <c r="Q44" s="18"/>
    </row>
    <row r="45" spans="1:17" ht="12.75">
      <c r="A45" s="18"/>
      <c r="B45" s="187"/>
      <c r="C45" s="18"/>
      <c r="D45" s="432" t="s">
        <v>116</v>
      </c>
      <c r="E45" s="433"/>
      <c r="F45" s="11">
        <v>1</v>
      </c>
      <c r="G45" s="95"/>
      <c r="H45" s="487"/>
      <c r="I45" s="485"/>
      <c r="J45" s="485"/>
      <c r="K45" s="485"/>
      <c r="L45" s="485"/>
      <c r="M45" s="486"/>
      <c r="N45" s="18"/>
      <c r="O45" s="18"/>
      <c r="P45" s="18"/>
      <c r="Q45" s="18"/>
    </row>
    <row r="46" spans="1:17" ht="12.75">
      <c r="A46" s="18"/>
      <c r="B46" s="111">
        <f>IF($K$18&gt;B44,B44+1,"")</f>
        <v>6</v>
      </c>
      <c r="C46" s="18"/>
      <c r="D46" s="432" t="s">
        <v>117</v>
      </c>
      <c r="E46" s="433"/>
      <c r="F46" s="11">
        <v>2</v>
      </c>
      <c r="G46" s="95"/>
      <c r="H46" s="487"/>
      <c r="I46" s="485"/>
      <c r="J46" s="485"/>
      <c r="K46" s="485"/>
      <c r="L46" s="485"/>
      <c r="M46" s="486"/>
      <c r="N46" s="18"/>
      <c r="O46" s="18"/>
      <c r="P46" s="18"/>
      <c r="Q46" s="18"/>
    </row>
    <row r="47" spans="1:17" ht="12.75">
      <c r="A47" s="18"/>
      <c r="B47" s="111">
        <f>B46</f>
        <v>6</v>
      </c>
      <c r="C47" s="18"/>
      <c r="D47" s="432" t="s">
        <v>118</v>
      </c>
      <c r="E47" s="433"/>
      <c r="F47" s="11">
        <v>3</v>
      </c>
      <c r="G47" s="95"/>
      <c r="H47" s="488"/>
      <c r="I47" s="489"/>
      <c r="J47" s="489"/>
      <c r="K47" s="489"/>
      <c r="L47" s="489"/>
      <c r="M47" s="490"/>
      <c r="N47" s="18"/>
      <c r="O47" s="18"/>
      <c r="P47" s="18"/>
      <c r="Q47" s="18"/>
    </row>
    <row r="48" spans="1:17" ht="12.75">
      <c r="A48" s="18"/>
      <c r="B48" s="18"/>
      <c r="C48" s="18"/>
      <c r="D48" s="432" t="s">
        <v>119</v>
      </c>
      <c r="E48" s="433"/>
      <c r="F48" s="11">
        <v>4</v>
      </c>
      <c r="G48" s="95"/>
      <c r="H48" s="18"/>
      <c r="I48" s="18"/>
      <c r="J48" s="18"/>
      <c r="K48" s="18"/>
      <c r="L48" s="18"/>
      <c r="M48" s="18"/>
      <c r="N48" s="18"/>
      <c r="O48" s="18"/>
      <c r="P48" s="18"/>
      <c r="Q48" s="18"/>
    </row>
    <row r="49" spans="1:17" ht="12.75">
      <c r="A49" s="18"/>
      <c r="B49" s="111">
        <f>IF($K$18&gt;B47,B47+1," ")</f>
        <v>7</v>
      </c>
      <c r="C49" s="18"/>
      <c r="D49" s="432" t="s">
        <v>120</v>
      </c>
      <c r="E49" s="433"/>
      <c r="F49" s="11">
        <v>5</v>
      </c>
      <c r="G49" s="95"/>
      <c r="H49" s="18"/>
      <c r="I49" s="18"/>
      <c r="J49" s="18"/>
      <c r="K49" s="18"/>
      <c r="L49" s="18"/>
      <c r="M49" s="18"/>
      <c r="N49" s="18"/>
      <c r="O49" s="18"/>
      <c r="P49" s="18"/>
      <c r="Q49" s="18"/>
    </row>
    <row r="50" spans="1:17" ht="12.75">
      <c r="A50" s="18"/>
      <c r="B50" s="111">
        <f>B49</f>
        <v>7</v>
      </c>
      <c r="C50" s="18"/>
      <c r="D50" s="432" t="s">
        <v>121</v>
      </c>
      <c r="E50" s="433"/>
      <c r="F50" s="11">
        <v>6</v>
      </c>
      <c r="G50" s="95"/>
      <c r="H50" s="18"/>
      <c r="I50" s="18"/>
      <c r="J50" s="18"/>
      <c r="K50" s="476" t="s">
        <v>107</v>
      </c>
      <c r="L50" s="476"/>
      <c r="M50" s="476"/>
      <c r="N50" s="18"/>
      <c r="O50" s="18"/>
      <c r="P50" s="18"/>
      <c r="Q50" s="18"/>
    </row>
    <row r="51" spans="1:17" ht="13.5" customHeight="1" thickBot="1">
      <c r="A51" s="18"/>
      <c r="B51" s="18"/>
      <c r="C51" s="18"/>
      <c r="D51" s="99" t="s">
        <v>122</v>
      </c>
      <c r="E51" s="99"/>
      <c r="F51" s="18"/>
      <c r="G51" s="18"/>
      <c r="H51" s="18"/>
      <c r="I51" s="18"/>
      <c r="J51" s="18"/>
      <c r="K51" s="476"/>
      <c r="L51" s="477"/>
      <c r="M51" s="477"/>
      <c r="N51" s="18"/>
      <c r="O51" s="18"/>
      <c r="P51" s="18"/>
      <c r="Q51" s="18"/>
    </row>
    <row r="52" spans="1:17" ht="13.5" customHeight="1" thickTop="1">
      <c r="A52" s="18"/>
      <c r="B52" s="18"/>
      <c r="C52" s="18"/>
      <c r="D52" s="99" t="s">
        <v>123</v>
      </c>
      <c r="E52" s="99"/>
      <c r="F52" s="111"/>
      <c r="G52" s="111"/>
      <c r="H52" s="18"/>
      <c r="I52" s="18"/>
      <c r="J52" s="18"/>
      <c r="K52" s="18"/>
      <c r="L52" s="18"/>
      <c r="M52" s="18"/>
      <c r="N52" s="18"/>
      <c r="O52" s="18"/>
      <c r="P52" s="18"/>
      <c r="Q52" s="18"/>
    </row>
    <row r="53" spans="1:17" ht="12.75">
      <c r="A53" s="18"/>
      <c r="B53" s="18"/>
      <c r="C53" s="18"/>
      <c r="D53" s="18"/>
      <c r="E53" s="18"/>
      <c r="F53" s="18"/>
      <c r="G53" s="18"/>
      <c r="H53" s="18"/>
      <c r="I53" s="18"/>
      <c r="J53" s="18"/>
      <c r="K53" s="18"/>
      <c r="L53" s="18"/>
      <c r="M53" s="18"/>
      <c r="N53" s="18"/>
      <c r="O53" s="18"/>
      <c r="P53" s="18"/>
      <c r="Q53" s="18"/>
    </row>
    <row r="54" spans="1:17" ht="12.75">
      <c r="A54" s="18"/>
      <c r="B54" s="18"/>
      <c r="C54" s="18"/>
      <c r="D54" s="18"/>
      <c r="E54" s="18"/>
      <c r="F54" s="18"/>
      <c r="G54" s="18"/>
      <c r="H54" s="18"/>
      <c r="I54" s="18"/>
      <c r="J54" s="18"/>
      <c r="K54" s="18"/>
      <c r="L54" s="18"/>
      <c r="M54" s="18"/>
      <c r="N54" s="18"/>
      <c r="O54" s="18"/>
      <c r="P54" s="18"/>
      <c r="Q54" s="18"/>
    </row>
    <row r="55" spans="1:7" ht="18" hidden="1">
      <c r="A55" s="18"/>
      <c r="G55" s="64"/>
    </row>
    <row r="56" spans="1:7" ht="12.75" hidden="1">
      <c r="A56" s="18"/>
      <c r="G56" s="53"/>
    </row>
    <row r="57" spans="1:7" ht="12.75" hidden="1">
      <c r="A57" s="18"/>
      <c r="G57" s="53"/>
    </row>
    <row r="58" spans="1:7" ht="12.75" hidden="1">
      <c r="A58" s="18"/>
      <c r="G58" s="53"/>
    </row>
    <row r="59" spans="1:44" ht="12.75" hidden="1">
      <c r="A59" s="18"/>
      <c r="G59" s="53"/>
      <c r="AR59" t="s">
        <v>304</v>
      </c>
    </row>
    <row r="60" spans="1:44" ht="12.75" hidden="1">
      <c r="A60" s="18"/>
      <c r="G60" s="53"/>
      <c r="AA60" s="65" t="s">
        <v>285</v>
      </c>
      <c r="AB60" s="65" t="s">
        <v>287</v>
      </c>
      <c r="AR60" t="s">
        <v>37</v>
      </c>
    </row>
    <row r="61" spans="1:44" ht="15" hidden="1">
      <c r="A61" s="18"/>
      <c r="G61" s="53"/>
      <c r="S61" t="s">
        <v>8</v>
      </c>
      <c r="T61" t="s">
        <v>9</v>
      </c>
      <c r="V61" t="s">
        <v>48</v>
      </c>
      <c r="X61" s="7" t="s">
        <v>37</v>
      </c>
      <c r="Y61" s="7" t="s">
        <v>86</v>
      </c>
      <c r="Z61" s="20" t="s">
        <v>32</v>
      </c>
      <c r="AA61" s="65" t="s">
        <v>286</v>
      </c>
      <c r="AB61" s="65" t="s">
        <v>288</v>
      </c>
      <c r="AD61" s="286" t="s">
        <v>284</v>
      </c>
      <c r="AE61" s="286" t="s">
        <v>291</v>
      </c>
      <c r="AF61" s="286" t="s">
        <v>292</v>
      </c>
      <c r="AG61" s="287" t="s">
        <v>293</v>
      </c>
      <c r="AH61" s="287" t="s">
        <v>294</v>
      </c>
      <c r="AI61" s="287" t="s">
        <v>295</v>
      </c>
      <c r="AJ61" s="287"/>
      <c r="AM61" t="s">
        <v>302</v>
      </c>
      <c r="AN61" s="65" t="s">
        <v>303</v>
      </c>
      <c r="AO61" t="s">
        <v>303</v>
      </c>
      <c r="AQ61" t="s">
        <v>76</v>
      </c>
      <c r="AR61" t="s">
        <v>126</v>
      </c>
    </row>
    <row r="62" spans="1:44" ht="15" hidden="1">
      <c r="A62" s="18"/>
      <c r="G62" s="53"/>
      <c r="S62">
        <v>0.1</v>
      </c>
      <c r="T62">
        <v>0</v>
      </c>
      <c r="V62" s="7">
        <f aca="true" t="shared" si="2" ref="V62:V71">IF(J8&lt;L8,1,IF(J8=L8,0,IF(J8&gt;L8,-1,"NOT")))</f>
        <v>-1</v>
      </c>
      <c r="X62" s="7" t="s">
        <v>88</v>
      </c>
      <c r="Y62" s="7" t="str">
        <f>VLOOKUP(10000000,$AJ$81:$AK$88,2)</f>
        <v>Lane 2</v>
      </c>
      <c r="Z62" s="65">
        <f>VLOOKUP(Y62,$AG$81:$AJ$88,4)</f>
        <v>176732.3575695902</v>
      </c>
      <c r="AA62" s="65" t="s">
        <v>289</v>
      </c>
      <c r="AB62" s="65">
        <f>IF(L18&gt;5.5,2,1)</f>
        <v>1</v>
      </c>
      <c r="AD62" s="286">
        <v>1</v>
      </c>
      <c r="AE62" s="286">
        <v>0</v>
      </c>
      <c r="AF62" s="286">
        <f>'random numbers'!$B$50</f>
        <v>0.9620345830917358</v>
      </c>
      <c r="AG62" s="287">
        <f aca="true" t="shared" si="3" ref="AG62:AG67">IF(AF62&lt;0.5,0.1,0.2)</f>
        <v>0.2</v>
      </c>
      <c r="AH62" s="287"/>
      <c r="AI62" s="287">
        <f>+C25+AG62</f>
        <v>4.2</v>
      </c>
      <c r="AJ62" s="287">
        <f aca="true" t="shared" si="4" ref="AJ62:AJ67">IF(AE62,CONCATENATE(AI62," LJD"),"")</f>
      </c>
      <c r="AK62" t="str">
        <f>IF('random numbers'!$B$60&gt;0.5,"L","R")</f>
        <v>R</v>
      </c>
      <c r="AL62">
        <f aca="true" t="shared" si="5" ref="AL62:AL67">IF(AE62=1,CONCATENATE(INT(AI62)+0.3,"L","  ",INT(AI62)+0.4,"R","  ","test comp to  ",CONCATENATE(INT(AI62),AO62)),"")</f>
      </c>
      <c r="AM62" s="292">
        <f>'random numbers'!$B$30</f>
        <v>0.3719702959060669</v>
      </c>
      <c r="AN62" s="293" t="str">
        <f aca="true" t="shared" si="6" ref="AN62:AN67">IF(AM62&lt;0.5,".3",".4")</f>
        <v>.3</v>
      </c>
      <c r="AO62" s="293" t="str">
        <f aca="true" t="shared" si="7" ref="AO62:AO67">IF(AN62=".3",CONCATENATE(AN62,"L"),CONCATENATE(AN62,"R"))</f>
        <v>.3L</v>
      </c>
      <c r="AQ62" s="292">
        <f>'random numbers'!$B$60</f>
        <v>0.36792516708374023</v>
      </c>
      <c r="AR62">
        <f aca="true" t="shared" si="8" ref="AR62:AR67">IF(AQ62&lt;0.5,(($N$19/2)-2),(($N$19/2)+2))</f>
        <v>4</v>
      </c>
    </row>
    <row r="63" spans="1:44" ht="15" hidden="1">
      <c r="A63" s="18"/>
      <c r="S63">
        <v>1</v>
      </c>
      <c r="T63">
        <v>1</v>
      </c>
      <c r="V63" s="7">
        <f t="shared" si="2"/>
        <v>-1</v>
      </c>
      <c r="X63" s="7" t="s">
        <v>89</v>
      </c>
      <c r="Y63" s="7" t="str">
        <f>VLOOKUP(10000000,$AN$81:$AO$88,2)</f>
        <v>Lane 1</v>
      </c>
      <c r="Z63" s="65">
        <f>VLOOKUP(Y63,$AK$81:$AN$88,4)</f>
        <v>180871.9211243093</v>
      </c>
      <c r="AA63" s="65">
        <f>+ROUND(('random numbers'!$B$170)*L18+0.5,0)</f>
        <v>1</v>
      </c>
      <c r="AD63" s="286">
        <v>2</v>
      </c>
      <c r="AE63" s="286">
        <v>0</v>
      </c>
      <c r="AF63" s="286">
        <f>'random numbers'!$B$51</f>
        <v>0.20366007089614868</v>
      </c>
      <c r="AG63" s="287">
        <f t="shared" si="3"/>
        <v>0.1</v>
      </c>
      <c r="AH63" s="287"/>
      <c r="AI63" s="287">
        <f>+C28+AG63</f>
        <v>5.1</v>
      </c>
      <c r="AJ63" s="287">
        <f t="shared" si="4"/>
      </c>
      <c r="AK63" t="str">
        <f>IF('random numbers'!$B$61&gt;0.5,"L","R")</f>
        <v>L</v>
      </c>
      <c r="AL63">
        <f t="shared" si="5"/>
      </c>
      <c r="AM63" s="292">
        <f>'random numbers'!$B$31</f>
        <v>0.4426944851875305</v>
      </c>
      <c r="AN63" s="293" t="str">
        <f t="shared" si="6"/>
        <v>.3</v>
      </c>
      <c r="AO63" s="293" t="str">
        <f t="shared" si="7"/>
        <v>.3L</v>
      </c>
      <c r="AQ63" s="292">
        <f>'random numbers'!$B$61</f>
        <v>0.720409095287323</v>
      </c>
      <c r="AR63">
        <f t="shared" si="8"/>
        <v>8</v>
      </c>
    </row>
    <row r="64" spans="1:44" ht="15" hidden="1">
      <c r="A64" s="18"/>
      <c r="S64">
        <v>601</v>
      </c>
      <c r="T64">
        <v>2</v>
      </c>
      <c r="V64" s="7">
        <f t="shared" si="2"/>
        <v>-1</v>
      </c>
      <c r="X64" s="7" t="s">
        <v>90</v>
      </c>
      <c r="Y64" s="7" t="str">
        <f>IF($L$18&lt;2,"",VLOOKUP(10000000,$AJ$92:$AK$99,2))</f>
        <v>Lane 5</v>
      </c>
      <c r="Z64" s="65">
        <f>IF(Y64="","",VLOOKUP(Y64,$AG$92:$AJ$99,4))</f>
        <v>164341.15902382135</v>
      </c>
      <c r="AA64" s="65" t="s">
        <v>290</v>
      </c>
      <c r="AD64" s="286">
        <v>3</v>
      </c>
      <c r="AE64" s="286">
        <v>0</v>
      </c>
      <c r="AF64" s="286">
        <f>'random numbers'!$B$52</f>
        <v>0.47878360748291016</v>
      </c>
      <c r="AG64" s="287">
        <f t="shared" si="3"/>
        <v>0.1</v>
      </c>
      <c r="AH64" s="287"/>
      <c r="AI64" s="287">
        <f>+C31+AG64</f>
        <v>6.1</v>
      </c>
      <c r="AJ64" s="287">
        <f t="shared" si="4"/>
      </c>
      <c r="AK64" t="str">
        <f>IF('random numbers'!$B$62&gt;0.5,"L","R")</f>
        <v>L</v>
      </c>
      <c r="AL64">
        <f t="shared" si="5"/>
      </c>
      <c r="AM64" s="292">
        <f>'random numbers'!$B$32</f>
        <v>0.49610114097595215</v>
      </c>
      <c r="AN64" s="293" t="str">
        <f t="shared" si="6"/>
        <v>.3</v>
      </c>
      <c r="AO64" s="293" t="str">
        <f t="shared" si="7"/>
        <v>.3L</v>
      </c>
      <c r="AQ64" s="292">
        <f>'random numbers'!$B$62</f>
        <v>0.6629573106765747</v>
      </c>
      <c r="AR64">
        <f t="shared" si="8"/>
        <v>8</v>
      </c>
    </row>
    <row r="65" spans="1:44" ht="15" hidden="1">
      <c r="A65" s="18"/>
      <c r="S65">
        <v>1001</v>
      </c>
      <c r="T65">
        <v>3</v>
      </c>
      <c r="V65" s="7">
        <f t="shared" si="2"/>
        <v>-1</v>
      </c>
      <c r="X65" s="7" t="s">
        <v>6</v>
      </c>
      <c r="Y65" s="7" t="str">
        <f>IF($L$18&lt;2,"",VLOOKUP(10000000,$AN$92:$AO$99,2))</f>
        <v>Lane 6</v>
      </c>
      <c r="Z65" s="65">
        <f>IF(Y65="","",VLOOKUP(Y65,$AK$92:$AN$99,4))</f>
        <v>162185.26676161587</v>
      </c>
      <c r="AA65" s="65">
        <f>+ROUND(('random numbers'!$B$171)*L18+0.5,0)</f>
        <v>2</v>
      </c>
      <c r="AD65" s="286">
        <v>4</v>
      </c>
      <c r="AE65" s="286">
        <v>0</v>
      </c>
      <c r="AF65" s="286">
        <f>'random numbers'!$B$53</f>
        <v>0.12225455045700073</v>
      </c>
      <c r="AG65" s="287">
        <f t="shared" si="3"/>
        <v>0.1</v>
      </c>
      <c r="AH65" s="287"/>
      <c r="AI65" s="287">
        <f>+C34+AG65</f>
        <v>7.1</v>
      </c>
      <c r="AJ65" s="287">
        <f t="shared" si="4"/>
      </c>
      <c r="AK65" t="str">
        <f>IF('random numbers'!$B$63&gt;0.5,"L","R")</f>
        <v>R</v>
      </c>
      <c r="AL65">
        <f t="shared" si="5"/>
      </c>
      <c r="AM65" s="292">
        <f>'random numbers'!$B$33</f>
        <v>0.33588117361068726</v>
      </c>
      <c r="AN65" s="293" t="str">
        <f t="shared" si="6"/>
        <v>.3</v>
      </c>
      <c r="AO65" s="293" t="str">
        <f t="shared" si="7"/>
        <v>.3L</v>
      </c>
      <c r="AQ65" s="292">
        <f>'random numbers'!$B$63</f>
        <v>0.10089188814163208</v>
      </c>
      <c r="AR65">
        <f t="shared" si="8"/>
        <v>4</v>
      </c>
    </row>
    <row r="66" spans="1:44" ht="15" hidden="1">
      <c r="A66" s="18"/>
      <c r="S66">
        <v>1601</v>
      </c>
      <c r="T66">
        <v>4</v>
      </c>
      <c r="V66" s="7">
        <f t="shared" si="2"/>
        <v>-1</v>
      </c>
      <c r="X66" s="7" t="s">
        <v>91</v>
      </c>
      <c r="Y66" s="7" t="str">
        <f>IF($L$18&lt;3,"",VLOOKUP(10000000,$AJ$103:$AK$110,2))</f>
        <v>Lane 6</v>
      </c>
      <c r="Z66" s="65">
        <f>IF(Y66="","",VLOOKUP(Y66,$AG$103:$AJ$110,4))</f>
        <v>158523.626330778</v>
      </c>
      <c r="AA66" s="65">
        <f>IF(AA63=AA65,AA65+1,AA65)</f>
        <v>2</v>
      </c>
      <c r="AD66" s="286">
        <v>5</v>
      </c>
      <c r="AE66" s="286">
        <v>0</v>
      </c>
      <c r="AF66" s="286">
        <f>'random numbers'!$B$54</f>
        <v>0.4574209451675415</v>
      </c>
      <c r="AG66" s="287">
        <f t="shared" si="3"/>
        <v>0.1</v>
      </c>
      <c r="AH66" s="287"/>
      <c r="AI66" s="287" t="e">
        <f>+C37+AG66</f>
        <v>#VALUE!</v>
      </c>
      <c r="AJ66" s="287">
        <f t="shared" si="4"/>
      </c>
      <c r="AK66" t="str">
        <f>IF('random numbers'!$B$64&gt;0.5,"L","R")</f>
        <v>L</v>
      </c>
      <c r="AL66">
        <f t="shared" si="5"/>
      </c>
      <c r="AM66" s="292">
        <f>'random numbers'!$B$34</f>
        <v>0.8165410757064819</v>
      </c>
      <c r="AN66" s="293" t="str">
        <f t="shared" si="6"/>
        <v>.4</v>
      </c>
      <c r="AO66" s="293" t="str">
        <f t="shared" si="7"/>
        <v>.4R</v>
      </c>
      <c r="AQ66" s="292">
        <f>'random numbers'!$B$64</f>
        <v>0.5215089321136475</v>
      </c>
      <c r="AR66">
        <f t="shared" si="8"/>
        <v>8</v>
      </c>
    </row>
    <row r="67" spans="1:44" ht="15" hidden="1">
      <c r="A67" s="18"/>
      <c r="S67">
        <v>3601</v>
      </c>
      <c r="T67">
        <v>5</v>
      </c>
      <c r="V67" s="7">
        <f t="shared" si="2"/>
        <v>-1</v>
      </c>
      <c r="X67" s="7" t="s">
        <v>92</v>
      </c>
      <c r="Y67" s="7" t="str">
        <f>IF($L$18&lt;3,"",VLOOKUP(10000000,$AN$103:$AO$110,2))</f>
        <v>Lane 6</v>
      </c>
      <c r="Z67" s="65">
        <f>IF(Y67="","",VLOOKUP(Y67,$AK$103:$AN$110,4))</f>
        <v>159354.36484074593</v>
      </c>
      <c r="AA67" s="65">
        <f>IF(AA66&gt;L18,1,AA66)</f>
        <v>2</v>
      </c>
      <c r="AD67" s="286">
        <v>6</v>
      </c>
      <c r="AE67" s="286">
        <v>0</v>
      </c>
      <c r="AF67" s="286">
        <f>'random numbers'!$B$55</f>
        <v>0.1863425374031067</v>
      </c>
      <c r="AG67" s="287">
        <f t="shared" si="3"/>
        <v>0.1</v>
      </c>
      <c r="AH67" s="287"/>
      <c r="AI67" s="287" t="e">
        <f>+C40+AG67</f>
        <v>#VALUE!</v>
      </c>
      <c r="AJ67" s="287">
        <f t="shared" si="4"/>
      </c>
      <c r="AK67" t="str">
        <f>IF('random numbers'!$B$65&gt;0.5,"L","R")</f>
        <v>L</v>
      </c>
      <c r="AL67">
        <f t="shared" si="5"/>
      </c>
      <c r="AM67" s="292">
        <f>'random numbers'!$B$35</f>
        <v>0.3745613694190979</v>
      </c>
      <c r="AN67" s="293" t="str">
        <f t="shared" si="6"/>
        <v>.3</v>
      </c>
      <c r="AO67" s="293" t="str">
        <f t="shared" si="7"/>
        <v>.3L</v>
      </c>
      <c r="AQ67" s="292">
        <f>'random numbers'!$B$65</f>
        <v>0.9940785765647888</v>
      </c>
      <c r="AR67">
        <f t="shared" si="8"/>
        <v>8</v>
      </c>
    </row>
    <row r="68" spans="19:26" ht="12.75" hidden="1">
      <c r="S68">
        <v>5001</v>
      </c>
      <c r="T68">
        <v>6</v>
      </c>
      <c r="V68" s="7">
        <f t="shared" si="2"/>
        <v>-1</v>
      </c>
      <c r="X68" s="7" t="s">
        <v>93</v>
      </c>
      <c r="Y68" s="7" t="e">
        <f>IF($L$18&lt;4,"",VLOOKUP(10000000,$AJ$114:$AK$121,2))</f>
        <v>#N/A</v>
      </c>
      <c r="Z68" s="65" t="e">
        <f>IF(Y68="","",VLOOKUP(Y68,$AG$114:$AJ$121,4))</f>
        <v>#N/A</v>
      </c>
    </row>
    <row r="69" spans="22:26" ht="12.75" hidden="1">
      <c r="V69" s="7">
        <f t="shared" si="2"/>
        <v>-1</v>
      </c>
      <c r="X69" s="7" t="s">
        <v>94</v>
      </c>
      <c r="Y69" s="7" t="e">
        <f>IF($L$18&lt;4,"",VLOOKUP(10000000,$AN$114:$AO$121,2))</f>
        <v>#N/A</v>
      </c>
      <c r="Z69" s="65" t="e">
        <f>IF(Y69="","",VLOOKUP(Y69,$AK$114:$AN$121,4))</f>
        <v>#N/A</v>
      </c>
    </row>
    <row r="70" spans="22:26" ht="12.75" hidden="1">
      <c r="V70" s="7">
        <f t="shared" si="2"/>
        <v>-1</v>
      </c>
      <c r="X70" s="7" t="s">
        <v>7</v>
      </c>
      <c r="Y70" s="7">
        <f>IF($L$18&lt;5,"",VLOOKUP(10000000,$AJ$125:$AK$132,2))</f>
      </c>
      <c r="Z70" s="65">
        <f>IF(Y70="","",VLOOKUP(Y70,$AG$125:$AJ$132,4))</f>
      </c>
    </row>
    <row r="71" spans="22:26" ht="12.75" hidden="1">
      <c r="V71" s="7">
        <f t="shared" si="2"/>
        <v>-1</v>
      </c>
      <c r="X71" s="7" t="s">
        <v>95</v>
      </c>
      <c r="Y71" s="7">
        <f>IF($L$18&lt;5,"",VLOOKUP(10000000,$AN$125:$AO$132,2))</f>
      </c>
      <c r="Z71" s="65">
        <f>IF(Y71="","",VLOOKUP(Y71,$AK$125:$AN$132,4))</f>
      </c>
    </row>
    <row r="72" spans="24:26" ht="12.75" hidden="1">
      <c r="X72" s="7" t="s">
        <v>96</v>
      </c>
      <c r="Y72" s="7">
        <f>IF($L$18&lt;6,"",VLOOKUP(10000000,$AJ$136:$AK$143,2))</f>
      </c>
      <c r="Z72" s="65">
        <f>IF(Y72="","",VLOOKUP(Y72,$AG$136:$AJ$143,4))</f>
      </c>
    </row>
    <row r="73" spans="24:26" ht="12.75" hidden="1">
      <c r="X73" s="7" t="s">
        <v>97</v>
      </c>
      <c r="Y73" s="7">
        <f>IF($L$18&lt;6,"",VLOOKUP(10000000,$AN$136:$AO$143,2))</f>
      </c>
      <c r="Z73" s="65">
        <f>IF(Y73="","",VLOOKUP(Y73,$AK$136:$AN$143,4))</f>
      </c>
    </row>
    <row r="74" ht="12.75" hidden="1"/>
    <row r="75" ht="12.75" hidden="1"/>
    <row r="76" spans="24:36" ht="12.75" hidden="1">
      <c r="X76" s="7"/>
      <c r="Y76" s="7"/>
      <c r="AH76" s="467" t="s">
        <v>24</v>
      </c>
      <c r="AI76" s="467"/>
      <c r="AJ76" s="467"/>
    </row>
    <row r="77" spans="24:43" ht="12.75" hidden="1">
      <c r="X77" s="7"/>
      <c r="Y77" s="7"/>
      <c r="AH77" s="467"/>
      <c r="AI77" s="467"/>
      <c r="AJ77" s="467"/>
      <c r="AL77" s="467" t="s">
        <v>25</v>
      </c>
      <c r="AM77" s="467"/>
      <c r="AN77" s="467"/>
      <c r="AQ77" s="279" t="s">
        <v>281</v>
      </c>
    </row>
    <row r="78" spans="24:43" ht="12.75" hidden="1">
      <c r="X78" s="7"/>
      <c r="Y78" s="7"/>
      <c r="Z78" s="7" t="s">
        <v>27</v>
      </c>
      <c r="AA78" s="20" t="s">
        <v>28</v>
      </c>
      <c r="AB78" s="20" t="s">
        <v>29</v>
      </c>
      <c r="AC78" s="7" t="s">
        <v>30</v>
      </c>
      <c r="AF78" s="7" t="s">
        <v>30</v>
      </c>
      <c r="AH78" s="7"/>
      <c r="AI78" s="7" t="s">
        <v>31</v>
      </c>
      <c r="AJ78" s="20" t="s">
        <v>32</v>
      </c>
      <c r="AL78" s="7"/>
      <c r="AM78" s="7" t="s">
        <v>31</v>
      </c>
      <c r="AN78" s="20" t="s">
        <v>32</v>
      </c>
      <c r="AQ78" s="279" t="s">
        <v>282</v>
      </c>
    </row>
    <row r="79" spans="24:43" ht="12.75" hidden="1">
      <c r="X79" s="7"/>
      <c r="Y79" s="7"/>
      <c r="Z79" s="7" t="s">
        <v>34</v>
      </c>
      <c r="AA79" s="20" t="s">
        <v>34</v>
      </c>
      <c r="AB79" s="20" t="s">
        <v>34</v>
      </c>
      <c r="AC79" s="7" t="s">
        <v>35</v>
      </c>
      <c r="AF79" s="7" t="s">
        <v>36</v>
      </c>
      <c r="AH79" s="7" t="s">
        <v>37</v>
      </c>
      <c r="AI79" s="7" t="s">
        <v>35</v>
      </c>
      <c r="AJ79" s="20" t="s">
        <v>38</v>
      </c>
      <c r="AL79" s="7" t="s">
        <v>37</v>
      </c>
      <c r="AM79" s="7" t="s">
        <v>35</v>
      </c>
      <c r="AN79" s="20" t="s">
        <v>38</v>
      </c>
      <c r="AQ79" s="279" t="s">
        <v>283</v>
      </c>
    </row>
    <row r="80" spans="24:43" ht="12.75" hidden="1">
      <c r="X80" s="7" t="s">
        <v>34</v>
      </c>
      <c r="Y80" s="7" t="s">
        <v>42</v>
      </c>
      <c r="Z80" s="7" t="s">
        <v>30</v>
      </c>
      <c r="AA80" s="20" t="s">
        <v>32</v>
      </c>
      <c r="AB80" s="20" t="s">
        <v>32</v>
      </c>
      <c r="AC80" s="7" t="s">
        <v>42</v>
      </c>
      <c r="AF80" s="7" t="s">
        <v>42</v>
      </c>
      <c r="AG80" s="7" t="s">
        <v>42</v>
      </c>
      <c r="AH80" s="7" t="s">
        <v>43</v>
      </c>
      <c r="AI80" s="7" t="s">
        <v>42</v>
      </c>
      <c r="AJ80" s="20" t="s">
        <v>37</v>
      </c>
      <c r="AK80" s="7" t="s">
        <v>42</v>
      </c>
      <c r="AL80" s="7" t="s">
        <v>43</v>
      </c>
      <c r="AM80" s="7" t="s">
        <v>42</v>
      </c>
      <c r="AN80" s="20" t="s">
        <v>37</v>
      </c>
      <c r="AO80" s="7" t="s">
        <v>42</v>
      </c>
      <c r="AQ80" s="279" t="s">
        <v>284</v>
      </c>
    </row>
    <row r="81" spans="24:44" ht="12.75" hidden="1">
      <c r="X81" s="7">
        <v>1</v>
      </c>
      <c r="Y81" s="7">
        <v>1</v>
      </c>
      <c r="Z81" s="12">
        <f>$L$19</f>
        <v>9021.25</v>
      </c>
      <c r="AA81" s="65">
        <f>J8</f>
        <v>182500</v>
      </c>
      <c r="AB81" s="65">
        <f>IF($L$19&lt;=N8,J8+$L$19*V62,L8)</f>
        <v>179255</v>
      </c>
      <c r="AC81" s="12">
        <f aca="true" t="shared" si="9" ref="AC81:AC86">ABS(AB81-AA81)</f>
        <v>3245</v>
      </c>
      <c r="AD81" t="str">
        <f>IF(N8=0,"",IF(ROUND(AC81-$N$8,0)=0,"LOT 1",IF(Z81=0,"",IF(AB81-AA81&lt;N8,"PARTIAL","NOT"))))</f>
        <v>LOT 1</v>
      </c>
      <c r="AF81" s="12">
        <f aca="true" t="shared" si="10" ref="AF81:AF90">IF(Z81="",0,N8-AC81)</f>
        <v>0</v>
      </c>
      <c r="AG81" s="7" t="s">
        <v>46</v>
      </c>
      <c r="AH81" s="12">
        <f>J24</f>
        <v>5000.642430409789</v>
      </c>
      <c r="AI81" s="12">
        <f>IF(AC81&gt;=AH81,AH81,AC81)</f>
        <v>3245</v>
      </c>
      <c r="AJ81" s="65">
        <f>IF(AI81=AC81,"",AA81+AI81*V62)</f>
      </c>
      <c r="AK81" s="7" t="s">
        <v>46</v>
      </c>
      <c r="AL81" s="12">
        <f>J25</f>
        <v>1628.0788756906986</v>
      </c>
      <c r="AM81" s="12">
        <f>IF(AC81&gt;=AL81,AL81,AC81)</f>
        <v>1628.0788756906986</v>
      </c>
      <c r="AN81" s="65">
        <f>IF(AM81=AC81,"",AA81+AM81*V62)</f>
        <v>180871.9211243093</v>
      </c>
      <c r="AO81" s="7" t="s">
        <v>46</v>
      </c>
      <c r="AR81" s="18"/>
    </row>
    <row r="82" spans="24:45" ht="12.75" hidden="1">
      <c r="X82" s="7"/>
      <c r="Y82" s="7">
        <v>2</v>
      </c>
      <c r="Z82" s="12">
        <f aca="true" t="shared" si="11" ref="Z82:Z90">IF(ROUND(N9,0)=0,"",Z81-ABS(AB81-AA81))</f>
        <v>5776.25</v>
      </c>
      <c r="AA82" s="65">
        <f aca="true" t="shared" si="12" ref="AA82:AA90">IF(Z82&lt;0.5,0,J9)</f>
        <v>178488</v>
      </c>
      <c r="AB82" s="65">
        <f aca="true" t="shared" si="13" ref="AB82:AB90">IF(Z82&lt;0.5,0,IF(Z82&lt;=N9,J9+Z82*V63,L9))</f>
        <v>173878</v>
      </c>
      <c r="AC82" s="12">
        <f t="shared" si="9"/>
        <v>4610</v>
      </c>
      <c r="AD82" t="str">
        <f>IF(N9=0,"",IF(ROUND(AC82-N9,0)=0,"LOT 1",IF(Z82&lt;0.5,"",IF(AB82-AA82&lt;$N$9+0.5,"PARTIAL","NOT"))))</f>
        <v>LOT 1</v>
      </c>
      <c r="AF82" s="12">
        <f t="shared" si="10"/>
        <v>0</v>
      </c>
      <c r="AG82" s="7" t="s">
        <v>49</v>
      </c>
      <c r="AH82" s="12">
        <f>IF(AC82=0,"",IF(AJ81="",AH81-AI81,""))</f>
        <v>1755.642430409789</v>
      </c>
      <c r="AI82" s="12">
        <f aca="true" t="shared" si="14" ref="AI82:AI90">IF(AH82="","",IF(AC82&gt;=AH82,AH82,AC82))</f>
        <v>1755.642430409789</v>
      </c>
      <c r="AJ82" s="65">
        <f aca="true" t="shared" si="15" ref="AJ82:AJ90">IF(AH82="","",IF(ROUND(AI82-AH82,0)=0,AA82+AI82*V63,IF(AI82=AC82,"",AA82+AI82*V63)))</f>
        <v>176732.3575695902</v>
      </c>
      <c r="AK82" s="7" t="s">
        <v>49</v>
      </c>
      <c r="AL82" s="12">
        <f aca="true" t="shared" si="16" ref="AL82:AL90">IF(AL81="","",IF(AC82=0,"",IF(AN81="",AL81-AM81,"")))</f>
      </c>
      <c r="AM82" s="12">
        <f aca="true" t="shared" si="17" ref="AM82:AM90">IF(AL82="","",IF(AC82&gt;=AL82,AL82,AC82))</f>
      </c>
      <c r="AN82" s="65">
        <f aca="true" t="shared" si="18" ref="AN82:AN90">IF(AL82="","",IF(ROUND(AM82-AL82,0)=0,AA82+AM82*V63,IF(AM82=AC82,"",AA82+AM82*V63)))</f>
      </c>
      <c r="AO82" s="7" t="s">
        <v>49</v>
      </c>
      <c r="AR82" s="18"/>
      <c r="AS82">
        <v>1</v>
      </c>
    </row>
    <row r="83" spans="24:47" ht="12.75" hidden="1">
      <c r="X83" s="7"/>
      <c r="Y83" s="7">
        <v>3</v>
      </c>
      <c r="Z83" s="12">
        <f t="shared" si="11"/>
        <v>1166.25</v>
      </c>
      <c r="AA83" s="65">
        <f t="shared" si="12"/>
        <v>173116</v>
      </c>
      <c r="AB83" s="65">
        <f t="shared" si="13"/>
        <v>172658</v>
      </c>
      <c r="AC83" s="12">
        <f t="shared" si="9"/>
        <v>458</v>
      </c>
      <c r="AD83" t="str">
        <f aca="true" t="shared" si="19" ref="AD83:AD90">IF(N10=0,"",IF(ROUND(AC83-N10,0)=0,"LOT 1",IF(Z83&lt;0.5,"",IF(AB83-AA83&lt;N10,"PARTIAL","NOT"))))</f>
        <v>LOT 1</v>
      </c>
      <c r="AF83" s="12">
        <f t="shared" si="10"/>
        <v>0</v>
      </c>
      <c r="AG83" s="7" t="s">
        <v>54</v>
      </c>
      <c r="AH83" s="12">
        <f aca="true" t="shared" si="20" ref="AH83:AH90">IF(AH82="","",IF(AC83=0,"",IF(AJ82="",AH82-AI82,"")))</f>
      </c>
      <c r="AI83" s="12">
        <f t="shared" si="14"/>
      </c>
      <c r="AJ83" s="65">
        <f t="shared" si="15"/>
      </c>
      <c r="AK83" s="7" t="s">
        <v>54</v>
      </c>
      <c r="AL83" s="12">
        <f t="shared" si="16"/>
      </c>
      <c r="AM83" s="12">
        <f t="shared" si="17"/>
      </c>
      <c r="AN83" s="65">
        <f t="shared" si="18"/>
      </c>
      <c r="AO83" s="7" t="s">
        <v>54</v>
      </c>
      <c r="AS83" s="85" t="s">
        <v>55</v>
      </c>
      <c r="AU83" s="1" t="s">
        <v>153</v>
      </c>
    </row>
    <row r="84" spans="24:47" ht="12.75" hidden="1">
      <c r="X84" s="7"/>
      <c r="Y84" s="7">
        <v>4</v>
      </c>
      <c r="Z84" s="12">
        <f t="shared" si="11"/>
        <v>708.25</v>
      </c>
      <c r="AA84" s="65">
        <f t="shared" si="12"/>
        <v>171875</v>
      </c>
      <c r="AB84" s="65">
        <f t="shared" si="13"/>
        <v>171166.75</v>
      </c>
      <c r="AC84" s="12">
        <f t="shared" si="9"/>
        <v>708.25</v>
      </c>
      <c r="AD84" t="str">
        <f t="shared" si="19"/>
        <v>PARTIAL</v>
      </c>
      <c r="AF84" s="12">
        <f t="shared" si="10"/>
        <v>2586.75</v>
      </c>
      <c r="AG84" s="7" t="s">
        <v>56</v>
      </c>
      <c r="AH84" s="12">
        <f t="shared" si="20"/>
      </c>
      <c r="AI84" s="12">
        <f t="shared" si="14"/>
      </c>
      <c r="AJ84" s="65">
        <f t="shared" si="15"/>
      </c>
      <c r="AK84" s="7" t="s">
        <v>56</v>
      </c>
      <c r="AL84" s="12">
        <f t="shared" si="16"/>
      </c>
      <c r="AM84" s="12">
        <f t="shared" si="17"/>
      </c>
      <c r="AN84" s="65">
        <f t="shared" si="18"/>
      </c>
      <c r="AO84" s="7" t="s">
        <v>56</v>
      </c>
      <c r="AS84" s="86" t="s">
        <v>57</v>
      </c>
      <c r="AU84" s="1" t="s">
        <v>154</v>
      </c>
    </row>
    <row r="85" spans="24:47" ht="12.75" hidden="1">
      <c r="X85" s="7"/>
      <c r="Y85" s="7">
        <v>5</v>
      </c>
      <c r="Z85" s="12">
        <f t="shared" si="11"/>
        <v>0</v>
      </c>
      <c r="AA85" s="65">
        <f t="shared" si="12"/>
        <v>0</v>
      </c>
      <c r="AB85" s="65">
        <f t="shared" si="13"/>
        <v>0</v>
      </c>
      <c r="AC85" s="12">
        <f t="shared" si="9"/>
        <v>0</v>
      </c>
      <c r="AD85">
        <f t="shared" si="19"/>
      </c>
      <c r="AF85" s="12">
        <f t="shared" si="10"/>
        <v>4564</v>
      </c>
      <c r="AG85" s="7" t="s">
        <v>58</v>
      </c>
      <c r="AH85" s="12">
        <f t="shared" si="20"/>
      </c>
      <c r="AI85" s="12">
        <f t="shared" si="14"/>
      </c>
      <c r="AJ85" s="65">
        <f t="shared" si="15"/>
      </c>
      <c r="AK85" s="7" t="s">
        <v>58</v>
      </c>
      <c r="AL85" s="12">
        <f t="shared" si="16"/>
      </c>
      <c r="AM85" s="12">
        <f t="shared" si="17"/>
      </c>
      <c r="AN85" s="65">
        <f t="shared" si="18"/>
      </c>
      <c r="AO85" s="7" t="s">
        <v>58</v>
      </c>
      <c r="AS85" s="86" t="s">
        <v>59</v>
      </c>
      <c r="AU85" s="1" t="s">
        <v>155</v>
      </c>
    </row>
    <row r="86" spans="24:47" ht="12.75" hidden="1">
      <c r="X86" s="7"/>
      <c r="Y86" s="7">
        <v>6</v>
      </c>
      <c r="Z86" s="12">
        <f t="shared" si="11"/>
        <v>0</v>
      </c>
      <c r="AA86" s="65">
        <f t="shared" si="12"/>
        <v>0</v>
      </c>
      <c r="AB86" s="65">
        <f t="shared" si="13"/>
        <v>0</v>
      </c>
      <c r="AC86" s="12">
        <f t="shared" si="9"/>
        <v>0</v>
      </c>
      <c r="AD86">
        <f t="shared" si="19"/>
      </c>
      <c r="AF86" s="12">
        <f t="shared" si="10"/>
        <v>4579</v>
      </c>
      <c r="AG86" s="7" t="s">
        <v>61</v>
      </c>
      <c r="AH86" s="12">
        <f t="shared" si="20"/>
      </c>
      <c r="AI86" s="12">
        <f t="shared" si="14"/>
      </c>
      <c r="AJ86" s="65">
        <f t="shared" si="15"/>
      </c>
      <c r="AK86" s="7" t="s">
        <v>61</v>
      </c>
      <c r="AL86" s="12">
        <f t="shared" si="16"/>
      </c>
      <c r="AM86" s="12">
        <f t="shared" si="17"/>
      </c>
      <c r="AN86" s="65">
        <f t="shared" si="18"/>
      </c>
      <c r="AO86" s="7" t="s">
        <v>61</v>
      </c>
      <c r="AS86" s="86" t="s">
        <v>257</v>
      </c>
      <c r="AU86" s="1" t="s">
        <v>156</v>
      </c>
    </row>
    <row r="87" spans="24:47" ht="12.75" hidden="1">
      <c r="X87" s="7"/>
      <c r="Y87" s="7">
        <v>7</v>
      </c>
      <c r="Z87" s="12">
        <f t="shared" si="11"/>
        <v>0</v>
      </c>
      <c r="AA87" s="65">
        <f t="shared" si="12"/>
        <v>0</v>
      </c>
      <c r="AB87" s="65">
        <f t="shared" si="13"/>
        <v>0</v>
      </c>
      <c r="AC87" s="12">
        <f>ABS(AB87-AA87)</f>
        <v>0</v>
      </c>
      <c r="AD87">
        <f t="shared" si="19"/>
      </c>
      <c r="AF87" s="12">
        <f t="shared" si="10"/>
        <v>1636</v>
      </c>
      <c r="AG87" s="7" t="s">
        <v>237</v>
      </c>
      <c r="AH87" s="12">
        <f t="shared" si="20"/>
      </c>
      <c r="AI87" s="12">
        <f t="shared" si="14"/>
      </c>
      <c r="AJ87" s="65">
        <f t="shared" si="15"/>
      </c>
      <c r="AK87" s="7" t="s">
        <v>237</v>
      </c>
      <c r="AL87" s="12">
        <f t="shared" si="16"/>
      </c>
      <c r="AM87" s="12">
        <f t="shared" si="17"/>
      </c>
      <c r="AN87" s="65">
        <f t="shared" si="18"/>
      </c>
      <c r="AO87" s="7" t="s">
        <v>237</v>
      </c>
      <c r="AS87" s="86" t="s">
        <v>64</v>
      </c>
      <c r="AU87" s="1" t="s">
        <v>157</v>
      </c>
    </row>
    <row r="88" spans="24:47" ht="12.75" hidden="1">
      <c r="X88" s="7"/>
      <c r="Y88" s="7">
        <v>8</v>
      </c>
      <c r="Z88" s="12">
        <f t="shared" si="11"/>
        <v>0</v>
      </c>
      <c r="AA88" s="65">
        <f t="shared" si="12"/>
        <v>0</v>
      </c>
      <c r="AB88" s="65">
        <f t="shared" si="13"/>
        <v>0</v>
      </c>
      <c r="AC88" s="12">
        <f>ABS(AB88-AA88)</f>
        <v>0</v>
      </c>
      <c r="AD88">
        <f t="shared" si="19"/>
      </c>
      <c r="AF88" s="12">
        <f t="shared" si="10"/>
        <v>1990</v>
      </c>
      <c r="AG88" s="7" t="s">
        <v>238</v>
      </c>
      <c r="AH88" s="12">
        <f t="shared" si="20"/>
      </c>
      <c r="AI88" s="12">
        <f t="shared" si="14"/>
      </c>
      <c r="AJ88" s="65">
        <f t="shared" si="15"/>
      </c>
      <c r="AK88" s="7" t="s">
        <v>238</v>
      </c>
      <c r="AL88" s="12">
        <f t="shared" si="16"/>
      </c>
      <c r="AM88" s="12">
        <f t="shared" si="17"/>
      </c>
      <c r="AN88" s="65">
        <f t="shared" si="18"/>
      </c>
      <c r="AO88" s="7" t="s">
        <v>238</v>
      </c>
      <c r="AS88" s="86" t="s">
        <v>258</v>
      </c>
      <c r="AU88" s="1" t="s">
        <v>158</v>
      </c>
    </row>
    <row r="89" spans="24:47" ht="12.75" hidden="1">
      <c r="X89" s="7"/>
      <c r="Y89" s="7">
        <v>9</v>
      </c>
      <c r="Z89" s="12">
        <f t="shared" si="11"/>
        <v>0</v>
      </c>
      <c r="AA89" s="65">
        <f t="shared" si="12"/>
        <v>0</v>
      </c>
      <c r="AB89" s="65">
        <f t="shared" si="13"/>
        <v>0</v>
      </c>
      <c r="AC89" s="12">
        <f>ABS(AB89-AA89)</f>
        <v>0</v>
      </c>
      <c r="AD89">
        <f t="shared" si="19"/>
      </c>
      <c r="AF89" s="12">
        <f t="shared" si="10"/>
        <v>9870</v>
      </c>
      <c r="AG89" s="7" t="s">
        <v>276</v>
      </c>
      <c r="AH89" s="12">
        <f t="shared" si="20"/>
      </c>
      <c r="AI89" s="12">
        <f t="shared" si="14"/>
      </c>
      <c r="AJ89" s="65">
        <f t="shared" si="15"/>
      </c>
      <c r="AK89" s="7" t="s">
        <v>276</v>
      </c>
      <c r="AL89" s="12">
        <f t="shared" si="16"/>
      </c>
      <c r="AM89" s="12">
        <f t="shared" si="17"/>
      </c>
      <c r="AN89" s="65">
        <f t="shared" si="18"/>
      </c>
      <c r="AO89" s="7" t="s">
        <v>276</v>
      </c>
      <c r="AS89" s="86"/>
      <c r="AU89" s="1"/>
    </row>
    <row r="90" spans="24:47" ht="12.75" hidden="1">
      <c r="X90" s="7"/>
      <c r="Y90" s="7">
        <v>10</v>
      </c>
      <c r="Z90" s="12">
        <f t="shared" si="11"/>
        <v>0</v>
      </c>
      <c r="AA90" s="65">
        <f t="shared" si="12"/>
        <v>0</v>
      </c>
      <c r="AB90" s="65">
        <f t="shared" si="13"/>
        <v>0</v>
      </c>
      <c r="AC90" s="12">
        <f>ABS(AB90-AA90)</f>
        <v>0</v>
      </c>
      <c r="AD90">
        <f t="shared" si="19"/>
      </c>
      <c r="AF90" s="12">
        <f t="shared" si="10"/>
        <v>1838</v>
      </c>
      <c r="AG90" s="7" t="s">
        <v>296</v>
      </c>
      <c r="AH90" s="12">
        <f t="shared" si="20"/>
      </c>
      <c r="AI90" s="12">
        <f t="shared" si="14"/>
      </c>
      <c r="AJ90" s="65">
        <f t="shared" si="15"/>
      </c>
      <c r="AK90" s="7" t="s">
        <v>296</v>
      </c>
      <c r="AL90" s="12">
        <f t="shared" si="16"/>
      </c>
      <c r="AM90" s="12">
        <f t="shared" si="17"/>
      </c>
      <c r="AN90" s="65">
        <f t="shared" si="18"/>
      </c>
      <c r="AO90" s="7" t="s">
        <v>296</v>
      </c>
      <c r="AS90" s="86"/>
      <c r="AU90" s="1"/>
    </row>
    <row r="91" spans="24:47" ht="12.75" hidden="1">
      <c r="X91" s="7"/>
      <c r="Y91" s="7"/>
      <c r="Z91" s="12"/>
      <c r="AC91" s="12"/>
      <c r="AF91" s="12"/>
      <c r="AS91" s="86" t="s">
        <v>68</v>
      </c>
      <c r="AU91" s="1" t="s">
        <v>159</v>
      </c>
    </row>
    <row r="92" spans="24:47" ht="12.75" hidden="1">
      <c r="X92" s="7">
        <v>2</v>
      </c>
      <c r="Y92" s="7">
        <v>1</v>
      </c>
      <c r="Z92" s="12">
        <f>IF($L$18&lt;2,"",IF(ROUND(AF81,0)=0,"",$L$19))</f>
      </c>
      <c r="AA92" s="65">
        <f>IF(Z92&lt;0.5,0,IF(Z92="",0,IF(AB81=0,$J$8,AB81)))</f>
        <v>0</v>
      </c>
      <c r="AB92" s="65">
        <f aca="true" t="shared" si="21" ref="AB92:AB101">IF(Z92="",0,IF(Z92&lt;0.5,0,IF(Z92&lt;=AF81,AA92+Z92*V62,L8)))</f>
        <v>0</v>
      </c>
      <c r="AC92" s="12">
        <f aca="true" t="shared" si="22" ref="AC92:AC97">ABS(AB92-AA92)</f>
        <v>0</v>
      </c>
      <c r="AD92">
        <f>IF(N8=0,"",IF(Z92="","",IF(ROUND(AC92-N8,0)=0,"LOT 2",IF(Z92&lt;0.5,"",IF(AB92-AA92&lt;N8,"PARTIAL","NOT")))))</f>
      </c>
      <c r="AF92" s="12">
        <f>IF(Z92="",0,$N$8-AC92-AC81)</f>
        <v>0</v>
      </c>
      <c r="AG92" s="7" t="s">
        <v>46</v>
      </c>
      <c r="AH92" s="12">
        <f>IF(AC92=0,"",J27)</f>
      </c>
      <c r="AI92" s="12">
        <f>IF(AC92=0,"",IF(AC92&gt;=AH92,AH92,AC92))</f>
      </c>
      <c r="AJ92" s="65">
        <f>IF(AH92="","",IF(AI92=AC92,"",AA92+AI92*V62))</f>
      </c>
      <c r="AK92" s="7" t="s">
        <v>46</v>
      </c>
      <c r="AL92" s="12">
        <f>IF(AC92=0,"",$J$28)</f>
      </c>
      <c r="AM92" s="12">
        <f>IF(AC92=0,"",IF(AC92&gt;=AL92,AL92,AC92))</f>
      </c>
      <c r="AN92" s="65">
        <f>IF(AL92="","",IF(AM92=AC92,"",AA92+AM92*V62))</f>
      </c>
      <c r="AO92" s="7" t="s">
        <v>46</v>
      </c>
      <c r="AS92" s="86" t="s">
        <v>260</v>
      </c>
      <c r="AU92" s="1" t="s">
        <v>160</v>
      </c>
    </row>
    <row r="93" spans="24:47" ht="12.75" hidden="1">
      <c r="X93" s="7"/>
      <c r="Y93" s="7">
        <v>2</v>
      </c>
      <c r="Z93" s="12">
        <f aca="true" t="shared" si="23" ref="Z93:Z101">IF(ROUND(AF82,0)=0,"",IF(Z92="",$L$19,ABS(Z92-AC92)))</f>
      </c>
      <c r="AA93" s="65">
        <f>IF(Z93&lt;0.5,0,IF(Z93="",0,IF(AB82=0,$J$9,AB82)))</f>
        <v>0</v>
      </c>
      <c r="AB93" s="65">
        <f t="shared" si="21"/>
        <v>0</v>
      </c>
      <c r="AC93" s="12">
        <f t="shared" si="22"/>
        <v>0</v>
      </c>
      <c r="AD93">
        <f>IF(N9=0,"",IF(Z93="","",IF(ROUND(AC93-N9,0)=0,"LOT 2",IF(Z93&lt;0.5,"",IF(AB93-AA93&lt;N9,"PARTIAL","NOT")))))</f>
      </c>
      <c r="AF93" s="12">
        <f>IF(Z93="",0,$N$9-AC93-AC82)</f>
        <v>0</v>
      </c>
      <c r="AG93" s="7" t="s">
        <v>49</v>
      </c>
      <c r="AH93" s="12">
        <f>IF(AC93=0,"",IF(AI92="",$J$27,IF(AJ92="",AH92-AI92,"")))</f>
      </c>
      <c r="AI93" s="12">
        <f aca="true" t="shared" si="24" ref="AI93:AI99">IF(AH93="","",IF(AC93&gt;=AH93,AH93,AC93))</f>
      </c>
      <c r="AJ93" s="65">
        <f aca="true" t="shared" si="25" ref="AJ93:AJ101">IF(AH93="","",IF(ROUND(AI93-AH93,0)=0,AA93+AI93*V63,IF(AI93=AC93,"",AA93+AI93*V63)))</f>
      </c>
      <c r="AK93" s="7" t="s">
        <v>49</v>
      </c>
      <c r="AL93" s="12">
        <f>IF(AC93=0,"",IF(AM92="",$J$28,IF(AN92="",AL92-AM92,"")))</f>
      </c>
      <c r="AM93" s="12">
        <f aca="true" t="shared" si="26" ref="AM93:AM99">IF(AL93="","",IF(AC93&gt;=AL93,AL93,AC93))</f>
      </c>
      <c r="AN93" s="65">
        <f aca="true" t="shared" si="27" ref="AN93:AN101">IF(AL93="","",IF(ROUND(AM93-AL93,0)=0,AA93+AM93*V63,IF(AM93=AC93,"",AA93+AM93*V63)))</f>
      </c>
      <c r="AO93" s="7" t="s">
        <v>49</v>
      </c>
      <c r="AS93" s="86" t="s">
        <v>73</v>
      </c>
      <c r="AU93" s="1" t="s">
        <v>161</v>
      </c>
    </row>
    <row r="94" spans="24:47" ht="12.75" hidden="1">
      <c r="X94" s="7"/>
      <c r="Y94" s="7">
        <v>3</v>
      </c>
      <c r="Z94" s="12">
        <f t="shared" si="23"/>
      </c>
      <c r="AA94" s="65">
        <f>IF(Z94&lt;0.5,0,IF(Z94="",0,IF(AB83=0,$J$10,AB83)))</f>
        <v>0</v>
      </c>
      <c r="AB94" s="65">
        <f t="shared" si="21"/>
        <v>0</v>
      </c>
      <c r="AC94" s="12">
        <f t="shared" si="22"/>
        <v>0</v>
      </c>
      <c r="AD94">
        <f>IF(N10=0,"",IF(Z94="","",IF(ROUND(AC94-N10,0)=0,"LOT2",IF(Z94&lt;0.5,"",IF(AB94-AA94&lt;N10,"PARTIAL","NOT")))))</f>
      </c>
      <c r="AF94" s="12">
        <f>IF(Z94="",0,$N$10-AC94-AC83)</f>
        <v>0</v>
      </c>
      <c r="AG94" s="7" t="s">
        <v>54</v>
      </c>
      <c r="AH94" s="12">
        <f>IF(AC94=0,"",IF(AND(AI92="",AI93=""),$J$27,IF(AND(AJ92="",AJ93=""),AH93-AI93,"")))</f>
      </c>
      <c r="AI94" s="12">
        <f t="shared" si="24"/>
      </c>
      <c r="AJ94" s="65">
        <f t="shared" si="25"/>
      </c>
      <c r="AK94" s="7" t="s">
        <v>54</v>
      </c>
      <c r="AL94" s="12">
        <f>IF(AC94=0,"",IF(AND(AM92="",AM93=""),$J$28,IF(AND(AN92="",AN93=""),AL93-AM93,"")))</f>
      </c>
      <c r="AM94" s="12">
        <f t="shared" si="26"/>
      </c>
      <c r="AN94" s="65">
        <f t="shared" si="27"/>
      </c>
      <c r="AO94" s="7" t="s">
        <v>54</v>
      </c>
      <c r="AS94" s="86" t="s">
        <v>261</v>
      </c>
      <c r="AU94" s="1" t="s">
        <v>162</v>
      </c>
    </row>
    <row r="95" spans="22:47" ht="12.75" hidden="1">
      <c r="V95" s="7"/>
      <c r="X95" s="7"/>
      <c r="Y95" s="7">
        <v>4</v>
      </c>
      <c r="Z95" s="12">
        <f t="shared" si="23"/>
        <v>9021.25</v>
      </c>
      <c r="AA95" s="65">
        <f>IF(Z95&lt;0.5,0,IF(Z95="",0,IF(AB84=0,$J$11,AB84)))</f>
        <v>171166.75</v>
      </c>
      <c r="AB95" s="65">
        <f t="shared" si="21"/>
        <v>168580</v>
      </c>
      <c r="AC95" s="12">
        <f t="shared" si="22"/>
        <v>2586.75</v>
      </c>
      <c r="AD95" t="str">
        <f aca="true" t="shared" si="28" ref="AD95:AD101">IF(N11=0,"",IF(Z95="","",IF(ROUND(AC95-N11,0)=0,"LOT 2",IF(Z95&lt;0.5,"",IF(AB95-AA95&lt;N11,"PARTIAL","NOT")))))</f>
        <v>PARTIAL</v>
      </c>
      <c r="AF95" s="12">
        <f>IF(Z95="",0,$N$11-AC95-AC84)</f>
        <v>0</v>
      </c>
      <c r="AG95" s="7" t="s">
        <v>56</v>
      </c>
      <c r="AH95" s="12">
        <f>IF(AC95=0,"",IF(AND(AI92="",AI93="",AI94=""),$J$27,IF(AND(AJ92="",AJ93="",AJ94=""),AH94-AI94,"")))</f>
        <v>6060.590976178646</v>
      </c>
      <c r="AI95" s="12">
        <f t="shared" si="24"/>
        <v>2586.75</v>
      </c>
      <c r="AJ95" s="65">
        <f t="shared" si="25"/>
      </c>
      <c r="AK95" s="7" t="s">
        <v>56</v>
      </c>
      <c r="AL95" s="12">
        <f>IF(AC95=0,"",IF(AND(AM92="",AM93="",AM94=""),$J$28,IF(AND(AN92="",AN93="",AN94=""),AL94-AM94,"")))</f>
        <v>7469.483238384128</v>
      </c>
      <c r="AM95" s="12">
        <f t="shared" si="26"/>
        <v>2586.75</v>
      </c>
      <c r="AN95" s="65">
        <f t="shared" si="27"/>
      </c>
      <c r="AO95" s="7" t="s">
        <v>56</v>
      </c>
      <c r="AS95" s="255" t="s">
        <v>259</v>
      </c>
      <c r="AU95" s="1" t="s">
        <v>163</v>
      </c>
    </row>
    <row r="96" spans="24:47" ht="12.75" hidden="1">
      <c r="X96" s="7"/>
      <c r="Y96" s="7">
        <v>5</v>
      </c>
      <c r="Z96" s="12">
        <f t="shared" si="23"/>
        <v>6434.5</v>
      </c>
      <c r="AA96" s="65">
        <f>IF(Z96&lt;0.5,0,IF(Z96="",0,IF(AB85=0,$J$12,AB85)))</f>
        <v>167815</v>
      </c>
      <c r="AB96" s="65">
        <f t="shared" si="21"/>
        <v>163251</v>
      </c>
      <c r="AC96" s="12">
        <f t="shared" si="22"/>
        <v>4564</v>
      </c>
      <c r="AD96" t="str">
        <f t="shared" si="28"/>
        <v>LOT 2</v>
      </c>
      <c r="AF96" s="12">
        <f>IF(Z96="",0,$N$12-AC96-AC85)</f>
        <v>0</v>
      </c>
      <c r="AG96" s="7" t="s">
        <v>58</v>
      </c>
      <c r="AH96" s="12">
        <f>IF(AC96=0,"",IF(AND(AI92="",AI93="",AI94="",AI95=""),$J$27,IF(AND(AJ92="",AJ93="",AJ94="",AJ95=""),AH95-AI95,"")))</f>
        <v>3473.840976178646</v>
      </c>
      <c r="AI96" s="12">
        <f t="shared" si="24"/>
        <v>3473.840976178646</v>
      </c>
      <c r="AJ96" s="65">
        <f t="shared" si="25"/>
        <v>164341.15902382135</v>
      </c>
      <c r="AK96" s="7" t="s">
        <v>58</v>
      </c>
      <c r="AL96" s="12">
        <f>IF(AC96=0,"",IF(AND(AM92="",AM93="",AM94="",AM95=""),$J$28,IF(AND(AN92="",AN93="",AN94="",AN95=""),AL95-AM95,"")))</f>
        <v>4882.733238384128</v>
      </c>
      <c r="AM96" s="12">
        <f t="shared" si="26"/>
        <v>4564</v>
      </c>
      <c r="AN96" s="65">
        <f t="shared" si="27"/>
      </c>
      <c r="AO96" s="7" t="s">
        <v>58</v>
      </c>
      <c r="AS96" s="255" t="s">
        <v>262</v>
      </c>
      <c r="AU96" s="1" t="s">
        <v>164</v>
      </c>
    </row>
    <row r="97" spans="24:47" ht="12.75" hidden="1">
      <c r="X97" s="7"/>
      <c r="Y97" s="7">
        <v>6</v>
      </c>
      <c r="Z97" s="12">
        <f t="shared" si="23"/>
        <v>1870.5</v>
      </c>
      <c r="AA97" s="65">
        <f>IF(Z97&lt;0.5,0,IF(Z97="",0,IF(AB86=0,$J$13,AB86)))</f>
        <v>162504</v>
      </c>
      <c r="AB97" s="65">
        <f t="shared" si="21"/>
        <v>160633.5</v>
      </c>
      <c r="AC97" s="12">
        <f t="shared" si="22"/>
        <v>1870.5</v>
      </c>
      <c r="AD97" t="str">
        <f t="shared" si="28"/>
        <v>PARTIAL</v>
      </c>
      <c r="AF97" s="12">
        <f>IF(Z97="",0,$N$13-AC97-AC86)</f>
        <v>2708.5</v>
      </c>
      <c r="AG97" s="7" t="s">
        <v>61</v>
      </c>
      <c r="AH97" s="12">
        <f>IF(AC97=0,"",IF(AND(AI92="",AI93="",AI94="",AI95="",AI96=""),$J$27,IF(AND(AJ92="",AJ93="",AJ94="",AJ95="",AJ96=""),AH96-AI96,"")))</f>
      </c>
      <c r="AI97" s="12">
        <f t="shared" si="24"/>
      </c>
      <c r="AJ97" s="65">
        <f t="shared" si="25"/>
      </c>
      <c r="AK97" s="7" t="s">
        <v>61</v>
      </c>
      <c r="AL97" s="12">
        <f>IF(AC97=0,"",IF(AND(AM92="",AM93="",AM94="",AM95="",AM96=""),$J$28,IF(AND(AN92="",AN93="",AN94="",AN95="",AN96=""),AL96-AM96,"")))</f>
        <v>318.7332383841276</v>
      </c>
      <c r="AM97" s="12">
        <f t="shared" si="26"/>
        <v>318.7332383841276</v>
      </c>
      <c r="AN97" s="65">
        <f t="shared" si="27"/>
        <v>162185.26676161587</v>
      </c>
      <c r="AO97" s="7" t="s">
        <v>61</v>
      </c>
      <c r="AU97" s="1" t="s">
        <v>165</v>
      </c>
    </row>
    <row r="98" spans="24:47" ht="12.75" hidden="1">
      <c r="X98" s="7"/>
      <c r="Y98" s="7">
        <v>7</v>
      </c>
      <c r="Z98" s="12">
        <f t="shared" si="23"/>
        <v>0</v>
      </c>
      <c r="AA98" s="65">
        <f>IF(Z98&lt;0.5,0,IF(Z98="",0,IF(AB87=0,$J$14,AB87)))</f>
        <v>0</v>
      </c>
      <c r="AB98" s="65">
        <f t="shared" si="21"/>
        <v>0</v>
      </c>
      <c r="AC98" s="12">
        <f>ABS(AB98-AA98)</f>
        <v>0</v>
      </c>
      <c r="AD98">
        <f t="shared" si="28"/>
      </c>
      <c r="AF98" s="12">
        <f>IF(Z98="",0,$N$14-AC98-AC87)</f>
        <v>1636</v>
      </c>
      <c r="AG98" s="7" t="s">
        <v>237</v>
      </c>
      <c r="AH98" s="12">
        <f>IF(AC98=0,"",IF(AND(AI92="",AI93="",AI94="",AI95="",AI96="",AI97=""),$J$27,IF(AND(AJ92="",AJ93="",AJ94="",AJ95="",AJ96="",AJ97=""),AH97-AI97,"")))</f>
      </c>
      <c r="AI98" s="12">
        <f t="shared" si="24"/>
      </c>
      <c r="AJ98" s="65">
        <f t="shared" si="25"/>
      </c>
      <c r="AK98" s="7" t="s">
        <v>237</v>
      </c>
      <c r="AL98" s="12">
        <f>IF(AC98=0,"",IF(AND(AM92="",AM93="",AM94="",AM95="",AM96="",AM97=""),$J$28,IF(AND(AN92="",AN93="",AN94="",AN95="",AN96="",AN97=""),AL97-AM97,"")))</f>
      </c>
      <c r="AM98" s="12">
        <f t="shared" si="26"/>
      </c>
      <c r="AN98" s="65">
        <f t="shared" si="27"/>
      </c>
      <c r="AO98" s="7" t="s">
        <v>237</v>
      </c>
      <c r="AU98" s="1" t="s">
        <v>166</v>
      </c>
    </row>
    <row r="99" spans="18:47" ht="12.75" hidden="1">
      <c r="R99" s="44"/>
      <c r="X99" s="7"/>
      <c r="Y99" s="7">
        <v>8</v>
      </c>
      <c r="Z99" s="12">
        <f t="shared" si="23"/>
        <v>0</v>
      </c>
      <c r="AA99" s="65">
        <f>IF(Z99&lt;0.5,0,IF(Z99="",0,IF(AB88=0,$J$15,AB88)))</f>
        <v>0</v>
      </c>
      <c r="AB99" s="65">
        <f t="shared" si="21"/>
        <v>0</v>
      </c>
      <c r="AC99" s="12">
        <f>ABS(AB99-AA99)</f>
        <v>0</v>
      </c>
      <c r="AD99">
        <f t="shared" si="28"/>
      </c>
      <c r="AF99" s="12">
        <f>IF(Z99="",0,$N$15-AC99-AC88)</f>
        <v>1990</v>
      </c>
      <c r="AG99" s="7" t="s">
        <v>238</v>
      </c>
      <c r="AH99" s="12">
        <f>IF(AC99=0,"",IF(AND(AI92="",AI93="",AI94="",AI95="",AI96="",AI97="",AI98=""),$J$27,IF(AND(AJ92="",AJ93="",AJ94="",AJ95="",AJ96="",AJ97="",AJ98=""),AH98-AI98,"")))</f>
      </c>
      <c r="AI99" s="12">
        <f t="shared" si="24"/>
      </c>
      <c r="AJ99" s="65">
        <f t="shared" si="25"/>
      </c>
      <c r="AK99" s="7" t="s">
        <v>238</v>
      </c>
      <c r="AL99" s="12">
        <f>IF(AC99=0,"",IF(AND(AM92="",AM93="",AM94="",AM95="",AM96="",AM97="",AM98=""),$J$28,IF(AND(AN92="",AN93="",AN94="",AN95="",AN96="",AN97="",AN98=""),AL98-AM98,"")))</f>
      </c>
      <c r="AM99" s="12">
        <f t="shared" si="26"/>
      </c>
      <c r="AN99" s="65">
        <f t="shared" si="27"/>
      </c>
      <c r="AO99" s="7" t="s">
        <v>238</v>
      </c>
      <c r="AU99" s="1" t="s">
        <v>167</v>
      </c>
    </row>
    <row r="100" spans="18:47" ht="12.75" hidden="1">
      <c r="R100" s="44"/>
      <c r="X100" s="7"/>
      <c r="Y100" s="7">
        <v>9</v>
      </c>
      <c r="Z100" s="12">
        <f t="shared" si="23"/>
        <v>0</v>
      </c>
      <c r="AA100" s="65">
        <f>IF(Z100&lt;0.5,0,IF(Z100="",0,IF(AB89=0,$J$16,AB89)))</f>
        <v>0</v>
      </c>
      <c r="AB100" s="65">
        <f t="shared" si="21"/>
        <v>0</v>
      </c>
      <c r="AC100" s="12">
        <f>ABS(AB100-AA100)</f>
        <v>0</v>
      </c>
      <c r="AD100">
        <f t="shared" si="28"/>
      </c>
      <c r="AF100" s="12">
        <f>IF(Z100="",0,$N$16-AC100-AC89)</f>
        <v>9870</v>
      </c>
      <c r="AG100" s="7" t="s">
        <v>276</v>
      </c>
      <c r="AH100" s="12">
        <f>IF(AC100=0,"",IF(AND(AI92="",AI93="",AI94="",AI95="",AI96="",AI97="",AI98="",AI99=""),$J$27,IF(AND(AJ92="",AJ93="",AJ94="",AJ95="",AJ96="",AJ97="",AJ98="",AJ99=""),AH99-AI99,"")))</f>
      </c>
      <c r="AI100" s="12">
        <f>IF(AH100="","",IF(AC100&gt;=AH100,AH100,AC100))</f>
      </c>
      <c r="AJ100" s="65">
        <f t="shared" si="25"/>
      </c>
      <c r="AK100" s="7" t="s">
        <v>276</v>
      </c>
      <c r="AL100" s="12">
        <f>IF(AC100=0,"",IF(AND(AM92="",AM93="",AM94="",AM95="",AM96="",AM97="",AM98="",AM99=""),$J$28,IF(AND(AN92="",AN93="",AN94="",AN95="",AN96="",AN97="",AN98="",AN99=""),AL99-AM99,"")))</f>
      </c>
      <c r="AM100" s="12">
        <f>IF(AL100="","",IF(AC100&gt;=AL100,AL100,AC100))</f>
      </c>
      <c r="AN100" s="65">
        <f t="shared" si="27"/>
      </c>
      <c r="AO100" s="7" t="s">
        <v>276</v>
      </c>
      <c r="AU100" s="1"/>
    </row>
    <row r="101" spans="18:47" ht="12.75" hidden="1">
      <c r="R101" s="44"/>
      <c r="X101" s="7"/>
      <c r="Y101" s="7">
        <v>10</v>
      </c>
      <c r="Z101" s="12">
        <f t="shared" si="23"/>
        <v>0</v>
      </c>
      <c r="AA101" s="65">
        <f>IF(Z101&lt;0.5,0,IF(Z101="",0,IF(AB90=0,$J$17,AB90)))</f>
        <v>0</v>
      </c>
      <c r="AB101" s="65">
        <f t="shared" si="21"/>
        <v>0</v>
      </c>
      <c r="AC101" s="12">
        <f>ABS(AB101-AA101)</f>
        <v>0</v>
      </c>
      <c r="AD101">
        <f t="shared" si="28"/>
      </c>
      <c r="AF101" s="12">
        <f>IF(Z101="",0,$N$17-AC101-AC90)</f>
        <v>1838</v>
      </c>
      <c r="AG101" s="7" t="s">
        <v>296</v>
      </c>
      <c r="AH101" s="12">
        <f>IF(AC101=0,"",IF(AND(AI92="",AI93="",AI94="",AI95="",AI96="",AI97="",AI98="",AI99="",AI100=""),$J$27,IF(AND(AJ92="",AJ93="",AJ94="",AJ95="",AJ96="",AJ97="",AJ98="",AJ99="",AJ100=""),AH100-AI100,"")))</f>
      </c>
      <c r="AI101" s="12">
        <f>IF(AH101="","",IF(AC101&gt;=AH101,AH101,AC101))</f>
      </c>
      <c r="AJ101" s="65">
        <f t="shared" si="25"/>
      </c>
      <c r="AK101" s="7" t="s">
        <v>296</v>
      </c>
      <c r="AL101" s="12">
        <f>IF(AC101=0,"",IF(AND(AM92="",AM93="",AM94="",AM95="",AM96="",AM97="",AM98="",AM99="",AM100=""),$J$28,IF(AND(AN92="",AN93="",AN94="",AN95="",AN96="",AN97="",AN98="",AN99="",AN100=""),AL100-AM100,"")))</f>
      </c>
      <c r="AM101" s="12">
        <f>IF(AL101="","",IF(AC101&gt;=AL101,AL101,AC101))</f>
      </c>
      <c r="AN101" s="65">
        <f t="shared" si="27"/>
      </c>
      <c r="AO101" s="7" t="s">
        <v>296</v>
      </c>
      <c r="AU101" s="1"/>
    </row>
    <row r="102" spans="18:47" ht="12.75" hidden="1">
      <c r="R102" s="44"/>
      <c r="X102" s="7"/>
      <c r="Y102" s="7"/>
      <c r="Z102" s="12"/>
      <c r="AC102" s="12"/>
      <c r="AL102" s="12"/>
      <c r="AM102" s="12"/>
      <c r="AU102" s="1" t="s">
        <v>168</v>
      </c>
    </row>
    <row r="103" spans="18:47" ht="12.75" hidden="1">
      <c r="R103" s="44"/>
      <c r="X103" s="7">
        <v>3</v>
      </c>
      <c r="Y103" s="7">
        <v>1</v>
      </c>
      <c r="Z103" s="12">
        <f>IF($L$18&lt;3,"",(IF(ROUND(AF92,0)=0,"",$L$19)))</f>
      </c>
      <c r="AA103" s="65">
        <f>IF(Z103&lt;0.5,0,IF(Z103="",0,IF(AB92=0,$J$8,AB92)))</f>
        <v>0</v>
      </c>
      <c r="AB103" s="65">
        <f aca="true" t="shared" si="29" ref="AB103:AB112">IF(Z103="",0,IF(Z103&lt;0.5,0,IF(Z103&lt;=AF92,AA103+Z103*V62,L8)))</f>
        <v>0</v>
      </c>
      <c r="AC103" s="12">
        <f aca="true" t="shared" si="30" ref="AC103:AC108">ABS(AB103-AA103)</f>
        <v>0</v>
      </c>
      <c r="AD103">
        <f>IF(N8=0,"",IF(Z103="","",IF(ROUND(AC103-N8,0)=0,"LOT 3",IF(Z103&lt;0.5,"",IF(AB103-AA103&lt;N8,"PARTIAL","NOT")))))</f>
      </c>
      <c r="AF103" s="12">
        <f>IF(Z103="",0,$N$8-AC103-AC92-AC81)</f>
        <v>0</v>
      </c>
      <c r="AG103" s="7" t="s">
        <v>46</v>
      </c>
      <c r="AH103" s="12">
        <f>IF(AC103=0,"",J30)</f>
      </c>
      <c r="AI103" s="12">
        <f>IF(AC103=0,"",IF(AC103&gt;=AH103,AH103,AC103))</f>
      </c>
      <c r="AJ103" s="65">
        <f>IF(AH103="","",IF(AI103=AC103,"",AA103+AI103*V62))</f>
      </c>
      <c r="AK103" s="7" t="s">
        <v>46</v>
      </c>
      <c r="AL103" s="12">
        <f>IF(AC103=0,"",$J$31)</f>
      </c>
      <c r="AM103" s="12">
        <f>IF(AC103=0,"",IF(AC103&gt;=AL103,AL103,AC103))</f>
      </c>
      <c r="AN103" s="65">
        <f>IF(AL103="","",IF(AM103=AC103,"",AA103+AM103*V62))</f>
      </c>
      <c r="AO103" s="7" t="s">
        <v>46</v>
      </c>
      <c r="AU103" s="1" t="s">
        <v>169</v>
      </c>
    </row>
    <row r="104" spans="18:47" ht="12.75" hidden="1">
      <c r="R104" s="44"/>
      <c r="X104" s="7"/>
      <c r="Y104" s="7">
        <v>2</v>
      </c>
      <c r="Z104" s="12">
        <f aca="true" t="shared" si="31" ref="Z104:Z110">IF(ROUND(AF93,0)=0,"",IF(Z103="",$L$19,ABS(Z103-AC103)))</f>
      </c>
      <c r="AA104" s="65">
        <f>IF(Z104&lt;0.5,0,IF(Z104="",0,IF(AB93=0,$J$9,AB93)))</f>
        <v>0</v>
      </c>
      <c r="AB104" s="65">
        <f t="shared" si="29"/>
        <v>0</v>
      </c>
      <c r="AC104" s="12">
        <f t="shared" si="30"/>
        <v>0</v>
      </c>
      <c r="AD104">
        <f>IF(N9=0,"",IF(Z104="","",IF(ROUND(AC104-N9,0)=0,"LOT 3",IF(Z104&lt;0.5,"",IF(AB104-AA104&lt;N9,"PARTIAL","NOT")))))</f>
      </c>
      <c r="AF104" s="12">
        <f>IF(Z104="",0,$N$9-AC104-AC93-AC82)</f>
        <v>0</v>
      </c>
      <c r="AG104" s="7" t="s">
        <v>49</v>
      </c>
      <c r="AH104" s="12">
        <f>IF(AC104=0,"",IF(AI103="",$J$30,IF(AJ103="",AH103-AI103,"")))</f>
      </c>
      <c r="AI104" s="12">
        <f aca="true" t="shared" si="32" ref="AI104:AI110">IF(AH104="","",IF(AC104&gt;=AH104,AH104,AC104))</f>
      </c>
      <c r="AJ104" s="65">
        <f aca="true" t="shared" si="33" ref="AJ104:AJ112">IF(AH104="","",IF(ROUND(AI104-AH104,0)=0,AA104+AI104*V63,IF(AI104=AC104,"",AA104+AI104*V63)))</f>
      </c>
      <c r="AK104" s="7" t="s">
        <v>49</v>
      </c>
      <c r="AL104" s="12">
        <f>IF(AC104=0,"",IF(AM103="",$J$31,IF(AN103="",AL103-AM103,"")))</f>
      </c>
      <c r="AM104" s="12">
        <f aca="true" t="shared" si="34" ref="AM104:AM110">IF(AL104="","",IF(AC104&gt;=AL104,AL104,AC104))</f>
      </c>
      <c r="AN104" s="65">
        <f aca="true" t="shared" si="35" ref="AN104:AN112">IF(AL104="","",IF(ROUND(AM104-AL104,0)=0,AA104+AM104*V63,IF(AM104=AC104,"",AA104+AM104*V63)))</f>
      </c>
      <c r="AO104" s="7" t="s">
        <v>49</v>
      </c>
      <c r="AU104" s="1" t="s">
        <v>170</v>
      </c>
    </row>
    <row r="105" spans="18:47" ht="12.75" hidden="1">
      <c r="R105" s="44"/>
      <c r="X105" s="7"/>
      <c r="Y105" s="7">
        <v>3</v>
      </c>
      <c r="Z105" s="12">
        <f t="shared" si="31"/>
      </c>
      <c r="AA105" s="65">
        <f>IF(Z105&lt;0.5,0,IF(Z105="",0,IF(AB94=0,$J$10,AB94)))</f>
        <v>0</v>
      </c>
      <c r="AB105" s="65">
        <f t="shared" si="29"/>
        <v>0</v>
      </c>
      <c r="AC105" s="12">
        <f t="shared" si="30"/>
        <v>0</v>
      </c>
      <c r="AD105">
        <f>IF(N10=0,"",IF(Z105="","",IF(ROUND(AC105-N10,0)=0,"LOT 3",IF(Z105&lt;0.5,"",IF(AC105&lt;N10,"PARTIAL","NOT")))))</f>
      </c>
      <c r="AF105" s="12">
        <f>IF(Z105="",0,$N$10-AC105-AC94-AC83)</f>
        <v>0</v>
      </c>
      <c r="AG105" s="7" t="s">
        <v>54</v>
      </c>
      <c r="AH105" s="12">
        <f>IF(AC105=0,"",IF(AND(AI103="",AI104=""),$J$30,IF(AND(AJ103="",AJ104=""),AH104-AI104,"")))</f>
      </c>
      <c r="AI105" s="12">
        <f t="shared" si="32"/>
      </c>
      <c r="AJ105" s="65">
        <f t="shared" si="33"/>
      </c>
      <c r="AK105" s="7" t="s">
        <v>54</v>
      </c>
      <c r="AL105" s="12">
        <f>IF(AC105=0,"",IF(AND(AM103="",AM104=""),$J$31,IF(AND(AN103="",AN104=""),AL104-AM104,"")))</f>
      </c>
      <c r="AM105" s="12">
        <f t="shared" si="34"/>
      </c>
      <c r="AN105" s="65">
        <f t="shared" si="35"/>
      </c>
      <c r="AO105" s="7" t="s">
        <v>54</v>
      </c>
      <c r="AU105" s="1" t="s">
        <v>171</v>
      </c>
    </row>
    <row r="106" spans="18:47" ht="12.75" hidden="1">
      <c r="R106" s="44"/>
      <c r="X106" s="7"/>
      <c r="Y106" s="7">
        <v>4</v>
      </c>
      <c r="Z106" s="12">
        <f t="shared" si="31"/>
      </c>
      <c r="AA106" s="65">
        <f>IF(Z106&lt;0.5,0,IF(Z106="",0,IF(AB95=0,$J$11,AB95)))</f>
        <v>0</v>
      </c>
      <c r="AB106" s="65">
        <f t="shared" si="29"/>
        <v>0</v>
      </c>
      <c r="AC106" s="12">
        <f t="shared" si="30"/>
        <v>0</v>
      </c>
      <c r="AD106">
        <f aca="true" t="shared" si="36" ref="AD106:AD112">IF(N11=0,"",IF(Z106="","",IF(ROUND(AC106-N11,0)=0,"LOT 3",IF(Z106&lt;0.5,"",IF(AB106-AA106&lt;N11,"PARTIAL","NOT")))))</f>
      </c>
      <c r="AF106" s="12">
        <f>IF(Z106="",0,$N$11-AC106-AC95-AC84)</f>
        <v>0</v>
      </c>
      <c r="AG106" s="7" t="s">
        <v>56</v>
      </c>
      <c r="AH106" s="12">
        <f>IF(AC106=0,"",IF(AND(AI103="",AI104="",AI105=""),$J$30,IF(AND(AJ103="",AJ104="",AJ105=""),AH105-AI105,"")))</f>
      </c>
      <c r="AI106" s="12">
        <f t="shared" si="32"/>
      </c>
      <c r="AJ106" s="65">
        <f t="shared" si="33"/>
      </c>
      <c r="AK106" s="7" t="s">
        <v>56</v>
      </c>
      <c r="AL106" s="12">
        <f>IF(AC106=0,"",IF(AND(AM103="",AM104="",AM105=""),$J$31,IF(AND(AN103="",AN104="",AN105=""),AL105-AM105,"")))</f>
      </c>
      <c r="AM106" s="12">
        <f t="shared" si="34"/>
      </c>
      <c r="AN106" s="65">
        <f t="shared" si="35"/>
      </c>
      <c r="AO106" s="7" t="s">
        <v>56</v>
      </c>
      <c r="AU106" s="1" t="s">
        <v>172</v>
      </c>
    </row>
    <row r="107" spans="18:47" ht="12.75" hidden="1">
      <c r="R107" s="44"/>
      <c r="X107" s="7"/>
      <c r="Y107" s="7">
        <v>5</v>
      </c>
      <c r="Z107" s="12">
        <f t="shared" si="31"/>
      </c>
      <c r="AA107" s="65">
        <f>IF(Z107&lt;0.5,0,IF(Z107="",0,IF(AB96=0,$J$12,AB96)))</f>
        <v>0</v>
      </c>
      <c r="AB107" s="65">
        <f t="shared" si="29"/>
        <v>0</v>
      </c>
      <c r="AC107" s="12">
        <f t="shared" si="30"/>
        <v>0</v>
      </c>
      <c r="AD107">
        <f t="shared" si="36"/>
      </c>
      <c r="AF107" s="12">
        <f>IF(Z107="",0,$N$12-AC107-AC96-AC85)</f>
        <v>0</v>
      </c>
      <c r="AG107" s="7" t="s">
        <v>58</v>
      </c>
      <c r="AH107" s="12">
        <f>IF(AC107=0,"",IF(AND(AI103="",AI104="",AI105="",AI106=""),$J$30,IF(AND(AJ103="",AJ104="",AJ105="",AJ106=""),AH106-AI106,"")))</f>
      </c>
      <c r="AI107" s="12">
        <f t="shared" si="32"/>
      </c>
      <c r="AJ107" s="65">
        <f t="shared" si="33"/>
      </c>
      <c r="AK107" s="7" t="s">
        <v>58</v>
      </c>
      <c r="AL107" s="12">
        <f>IF(AC107=0,"",IF(AND(AM103="",AM104="",AM105="",AM106=""),$J$31,IF(AND(AN103="",AN104="",AN105="",AN106=""),AL106-AM106,"")))</f>
      </c>
      <c r="AM107" s="12">
        <f t="shared" si="34"/>
      </c>
      <c r="AN107" s="65">
        <f t="shared" si="35"/>
      </c>
      <c r="AO107" s="7" t="s">
        <v>58</v>
      </c>
      <c r="AU107" s="1" t="s">
        <v>173</v>
      </c>
    </row>
    <row r="108" spans="18:47" ht="12.75" hidden="1">
      <c r="R108" s="44"/>
      <c r="X108" s="7"/>
      <c r="Y108" s="7">
        <v>6</v>
      </c>
      <c r="Z108" s="12">
        <f t="shared" si="31"/>
        <v>9021.25</v>
      </c>
      <c r="AA108" s="65">
        <f>IF(Z108&lt;0.5,0,IF(Z108="",0,IF(AB97=0,$J$13,AB97)))</f>
        <v>160633.5</v>
      </c>
      <c r="AB108" s="65">
        <f t="shared" si="29"/>
        <v>157925</v>
      </c>
      <c r="AC108" s="12">
        <f t="shared" si="30"/>
        <v>2708.5</v>
      </c>
      <c r="AD108" t="str">
        <f t="shared" si="36"/>
        <v>PARTIAL</v>
      </c>
      <c r="AF108" s="12">
        <f>IF(Z108="",0,$N$13-AC108-AC97-AC86)</f>
        <v>0</v>
      </c>
      <c r="AG108" s="7" t="s">
        <v>61</v>
      </c>
      <c r="AH108" s="12">
        <f>IF(AC108=0,"",IF(AND(AI103="",AI104="",AI105="",AI106="",AI107=""),$J$30,IF(AND(AJ103="",AJ104="",AJ105="",AJ106="",AJ107=""),AH107-AI107,"")))</f>
        <v>2109.8736692219973</v>
      </c>
      <c r="AI108" s="12">
        <f t="shared" si="32"/>
        <v>2109.8736692219973</v>
      </c>
      <c r="AJ108" s="65">
        <f t="shared" si="33"/>
        <v>158523.626330778</v>
      </c>
      <c r="AK108" s="7" t="s">
        <v>61</v>
      </c>
      <c r="AL108" s="12">
        <f>IF(AC108=0,"",IF(AND(AM103="",AM104="",AM105="",AM106="",AM107=""),$J$31,IF(AND(AN103="",AN104="",AN105="",AN106="",AN107=""),AL107-AM107,"")))</f>
        <v>1279.135159254074</v>
      </c>
      <c r="AM108" s="12">
        <f t="shared" si="34"/>
        <v>1279.135159254074</v>
      </c>
      <c r="AN108" s="65">
        <f t="shared" si="35"/>
        <v>159354.36484074593</v>
      </c>
      <c r="AO108" s="7" t="s">
        <v>61</v>
      </c>
      <c r="AU108" s="1"/>
    </row>
    <row r="109" spans="18:47" ht="12.75" hidden="1">
      <c r="R109" s="44"/>
      <c r="X109" s="7"/>
      <c r="Y109" s="7">
        <v>7</v>
      </c>
      <c r="Z109" s="12">
        <f t="shared" si="31"/>
        <v>6312.75</v>
      </c>
      <c r="AA109" s="65">
        <f>IF(Z109&lt;0.5,0,IF(Z109="",0,IF(AB98=0,$J$14,AB98)))</f>
        <v>157168</v>
      </c>
      <c r="AB109" s="65">
        <f t="shared" si="29"/>
        <v>155532</v>
      </c>
      <c r="AC109" s="12">
        <f>ABS(AB109-AA109)</f>
        <v>1636</v>
      </c>
      <c r="AD109" t="str">
        <f t="shared" si="36"/>
        <v>LOT 3</v>
      </c>
      <c r="AF109" s="12">
        <f>IF(Z109="",0,$N$14-AC109-AC98-AC87)</f>
        <v>0</v>
      </c>
      <c r="AG109" s="7" t="s">
        <v>237</v>
      </c>
      <c r="AH109" s="12">
        <f>IF(AC109=0,"",IF(AND(AI103="",AI104="",AI105="",AI106="",AI107="",AI108=""),$J$30,IF(AND(AJ103="",AJ104="",AJ105="",AJ106="",AJ107="",AJ108=""),AH108-AI108,"")))</f>
      </c>
      <c r="AI109" s="12">
        <f t="shared" si="32"/>
      </c>
      <c r="AJ109" s="65">
        <f t="shared" si="33"/>
      </c>
      <c r="AK109" s="7" t="s">
        <v>237</v>
      </c>
      <c r="AL109" s="12">
        <f>IF(AC109=0,"",IF(AND(AM103="",AM104="",AM105="",AM106="",AM107="",AM108=""),$J$31,IF(AND(AN103="",AN104="",AN105="",AN106="",AN107="",AN108=""),AL108-AM108,"")))</f>
      </c>
      <c r="AM109" s="12">
        <f t="shared" si="34"/>
      </c>
      <c r="AN109" s="65">
        <f t="shared" si="35"/>
      </c>
      <c r="AO109" s="7" t="s">
        <v>237</v>
      </c>
      <c r="AU109" s="1"/>
    </row>
    <row r="110" spans="18:47" ht="12.75" hidden="1">
      <c r="R110" s="44"/>
      <c r="X110" s="7"/>
      <c r="Y110" s="7">
        <v>8</v>
      </c>
      <c r="Z110" s="12">
        <f t="shared" si="31"/>
        <v>4676.75</v>
      </c>
      <c r="AA110" s="65">
        <f>IF(Z110&lt;0.5,0,IF(Z110="",0,IF(AB99=0,$J$15,AB99)))</f>
        <v>154790</v>
      </c>
      <c r="AB110" s="65">
        <f t="shared" si="29"/>
        <v>152800</v>
      </c>
      <c r="AC110" s="12">
        <f>ABS(AB110-AA110)</f>
        <v>1990</v>
      </c>
      <c r="AD110" t="str">
        <f t="shared" si="36"/>
        <v>LOT 3</v>
      </c>
      <c r="AF110" s="12">
        <f>IF(Z110="",0,$N$15-AC110-AC99-AC88)</f>
        <v>0</v>
      </c>
      <c r="AG110" s="7" t="s">
        <v>238</v>
      </c>
      <c r="AH110" s="12">
        <f>IF(AC110=0,"",IF(AND(AI103="",AI104="",AI105="",AI106="",AI107="",AI108="",AI109=""),$J$30,IF(AND(AJ103="",AJ104="",AJ105="",AJ106="",AJ107="",AJ108="",AJ109=""),AH109-AI109,"")))</f>
      </c>
      <c r="AI110" s="12">
        <f t="shared" si="32"/>
      </c>
      <c r="AJ110" s="65">
        <f t="shared" si="33"/>
      </c>
      <c r="AK110" s="7" t="s">
        <v>238</v>
      </c>
      <c r="AL110" s="12">
        <f>IF(AC110=0,"",IF(AND(AM103="",AM104="",AM105="",AM106="",AM107="",AM108="",AM109=""),$J$31,IF(AND(AN103="",AN104="",AN105="",AN106="",AN107="",AN108="",AN109=""),AL109-AM109,"")))</f>
      </c>
      <c r="AM110" s="12">
        <f t="shared" si="34"/>
      </c>
      <c r="AN110" s="65">
        <f t="shared" si="35"/>
      </c>
      <c r="AO110" s="7" t="s">
        <v>238</v>
      </c>
      <c r="AU110" s="1" t="s">
        <v>174</v>
      </c>
    </row>
    <row r="111" spans="18:47" ht="12.75" hidden="1">
      <c r="R111" s="44"/>
      <c r="X111" s="7"/>
      <c r="Y111" s="7">
        <v>9</v>
      </c>
      <c r="Z111" s="12">
        <f>IF(ROUND(AF100,0)=0,"",IF(Z110="",$L$19,ABS(Z110-AC110)))</f>
        <v>2686.75</v>
      </c>
      <c r="AA111" s="65">
        <f>IF(Z111&lt;0.5,0,IF(Z111="",0,IF(AB100=0,$J$16,AB100)))</f>
        <v>152035</v>
      </c>
      <c r="AB111" s="65">
        <f t="shared" si="29"/>
        <v>149348.25</v>
      </c>
      <c r="AC111" s="12">
        <f>ABS(AB111-AA111)</f>
        <v>2686.75</v>
      </c>
      <c r="AD111" t="str">
        <f t="shared" si="36"/>
        <v>PARTIAL</v>
      </c>
      <c r="AF111" s="12">
        <f>IF(Z111="",0,$N$16-AC111-AC100-AC89)</f>
        <v>7183.25</v>
      </c>
      <c r="AG111" s="7" t="s">
        <v>276</v>
      </c>
      <c r="AH111" s="12">
        <f>IF(AC111=0,"",IF(AND(AI103="",AI104="",AI105="",AI106="",AI107="",AI108="",AI109="",AI110=""),$J$30,IF(AND(AJ103="",AJ104="",AJ105="",AJ106="",AJ107="",AJ108="",AJ109="",AJ110=""),AH110-AI110,"")))</f>
      </c>
      <c r="AI111" s="12">
        <f>IF(AH111="","",IF(AC111&gt;=AH111,AH111,AC111))</f>
      </c>
      <c r="AJ111" s="65">
        <f t="shared" si="33"/>
      </c>
      <c r="AK111" s="7" t="s">
        <v>276</v>
      </c>
      <c r="AL111" s="12">
        <f>IF(AC111=0,"",IF(AND(AM103="",AM104="",AM105="",AM106="",AM107="",AM108="",AM109="",AM110=""),$J$31,IF(AND(AN103="",AN104="",AN105="",AN106="",AN107="",AN108="",AN109="",AN110=""),AL110-AM110,"")))</f>
      </c>
      <c r="AM111" s="12">
        <f>IF(AL111="","",IF(AC111&gt;=AL111,AL111,AC111))</f>
      </c>
      <c r="AN111" s="65">
        <f t="shared" si="35"/>
      </c>
      <c r="AO111" s="7" t="s">
        <v>276</v>
      </c>
      <c r="AU111" s="1"/>
    </row>
    <row r="112" spans="18:47" ht="12.75" hidden="1">
      <c r="R112" s="44"/>
      <c r="X112" s="7"/>
      <c r="Y112" s="7">
        <v>10</v>
      </c>
      <c r="Z112" s="12">
        <f>IF(ROUND(AF101,0)=0,"",IF(Z111="",$L$19,ABS(Z111-AC111)))</f>
        <v>0</v>
      </c>
      <c r="AA112" s="65">
        <f>IF(Z112&lt;0.5,0,IF(Z112="",0,IF(AB101=0,$J$17,AB101)))</f>
        <v>0</v>
      </c>
      <c r="AB112" s="65">
        <f t="shared" si="29"/>
        <v>0</v>
      </c>
      <c r="AC112" s="12">
        <f>ABS(AB112-AA112)</f>
        <v>0</v>
      </c>
      <c r="AD112">
        <f t="shared" si="36"/>
      </c>
      <c r="AF112" s="12">
        <f>IF(Z112="",0,$N$17-AC112-AC101-AC90)</f>
        <v>1838</v>
      </c>
      <c r="AG112" s="7" t="s">
        <v>296</v>
      </c>
      <c r="AH112" s="12">
        <f>IF(AC112=0,"",IF(AND(AI103="",AI104="",AI105="",AI106="",AI107="",AI108="",AI109="",AI110="",AI111=""),$J$30,IF(AND(AJ103="",AJ104="",AJ105="",AJ106="",AJ107="",AJ108="",AJ109="",AJ110="",AJ111=""),AH111-AI111,"")))</f>
      </c>
      <c r="AI112" s="12">
        <f>IF(AH112="","",IF(AC112&gt;=AH112,AH112,AC112))</f>
      </c>
      <c r="AJ112" s="65">
        <f t="shared" si="33"/>
      </c>
      <c r="AK112" s="7" t="s">
        <v>296</v>
      </c>
      <c r="AL112" s="12">
        <f>IF(AC112=0,"",IF(AND(AM103="",AM104="",AM105="",AM106="",AM107="",AM108="",AM109="",AM110="",AM111=""),$J$31,IF(AND(AN103="",AN104="",AN105="",AN106="",AN107="",AN108="",AN109="",AN110="",AN111=""),AL111-AM111,"")))</f>
      </c>
      <c r="AM112" s="12">
        <f>IF(AL112="","",IF(AC112&gt;=AL112,AL112,AC112))</f>
      </c>
      <c r="AN112" s="65">
        <f t="shared" si="35"/>
      </c>
      <c r="AO112" s="7" t="s">
        <v>296</v>
      </c>
      <c r="AU112" s="1"/>
    </row>
    <row r="113" spans="18:47" ht="12.75" hidden="1">
      <c r="R113" s="44"/>
      <c r="U113" s="7"/>
      <c r="V113" s="7">
        <f>IF(L18&lt;7,"",VLOOKUP(10000000,$AJ$147:$AK$152,2))</f>
      </c>
      <c r="W113" s="65">
        <f>IF(V113="","",VLOOKUP(V113,$AG$147:$AJ$152,4))</f>
      </c>
      <c r="X113" s="7"/>
      <c r="Y113" s="7"/>
      <c r="Z113" s="12"/>
      <c r="AU113" s="1" t="s">
        <v>175</v>
      </c>
    </row>
    <row r="114" spans="18:47" ht="12.75" hidden="1">
      <c r="R114" s="44"/>
      <c r="U114" s="7"/>
      <c r="V114" s="7">
        <f>IF(L18&lt;7,"",VLOOKUP(10000000,$AN$147:$AO$152,2))</f>
      </c>
      <c r="W114" s="65">
        <f>IF(V114="","",VLOOKUP(V114,$AK$147:$AN$152,4))</f>
      </c>
      <c r="X114" s="7">
        <v>4</v>
      </c>
      <c r="Y114" s="7">
        <v>1</v>
      </c>
      <c r="Z114" s="12">
        <f>IF($L$18&lt;4,"",(IF(ROUND(AF103,0)=0,"",$L$19)))</f>
      </c>
      <c r="AA114" s="65">
        <f>IF(Z114&lt;0.5,0,IF(Z114="",0,IF(AB103=0,$J$8,AB103)))</f>
        <v>0</v>
      </c>
      <c r="AB114" s="65">
        <f>IF(Z114="",0,IF(Z114&lt;0.5,0,IF(Z114&lt;=AF103,AA114+Z114*V62,$L$8)))</f>
        <v>0</v>
      </c>
      <c r="AC114" s="12">
        <f aca="true" t="shared" si="37" ref="AC114:AC119">ABS(AB114-AA114)</f>
        <v>0</v>
      </c>
      <c r="AD114">
        <f>IF($N$8=0,"",IF(Z114="","",IF(ROUND(AC114-$N$8,0)=0,"LOT 4",IF(Z114&lt;0.5,"",IF(AB114-AA114&lt;$N$8,"PARTIAL","NOT")))))</f>
      </c>
      <c r="AF114" s="12">
        <f>IF(Z114="",0,$N$8-AC114-AC103-AC92-AC81)</f>
        <v>0</v>
      </c>
      <c r="AG114" s="7" t="s">
        <v>46</v>
      </c>
      <c r="AH114" s="12">
        <f>IF(AC114=0,"",J33)</f>
      </c>
      <c r="AI114" s="12">
        <f>IF(AC114=0,"",IF(AC114&gt;=AH114,AH114,AC114))</f>
      </c>
      <c r="AJ114" s="65">
        <f>IF(AH114="","",IF(AI114=AC114,"",AA114+AI114*V62))</f>
      </c>
      <c r="AK114" s="7" t="s">
        <v>46</v>
      </c>
      <c r="AL114" s="12">
        <f>IF(AC114=0,"",$J$34)</f>
      </c>
      <c r="AM114" s="12">
        <f>IF(AC114=0,"",IF(AC114&gt;=AL114,AL114,AC114))</f>
      </c>
      <c r="AN114" s="65">
        <f>IF(AL114="","",IF(AM114=AC114,"",AA114+AM114*V62))</f>
      </c>
      <c r="AO114" s="7" t="s">
        <v>46</v>
      </c>
      <c r="AU114" s="1"/>
    </row>
    <row r="115" spans="18:47" ht="12.75" hidden="1">
      <c r="R115" s="44"/>
      <c r="V115" s="7"/>
      <c r="X115" s="7"/>
      <c r="Y115" s="7">
        <v>2</v>
      </c>
      <c r="Z115" s="12">
        <f aca="true" t="shared" si="38" ref="Z115:Z121">IF(ROUND(AF104,0)=0,"",IF(Z114="",$L$19,ABS(Z114-AC114)))</f>
      </c>
      <c r="AA115" s="65">
        <f>IF(Z115&lt;0.5,0,IF(Z115="",0,IF(AB104=0,$J$9,AB104)))</f>
        <v>0</v>
      </c>
      <c r="AB115" s="65">
        <f>IF(Z115="",0,IF(Z115&lt;0.5,0,IF(Z115&lt;=AF104,AA115+Z115*V63,$L$9)))</f>
        <v>0</v>
      </c>
      <c r="AC115" s="12">
        <f t="shared" si="37"/>
        <v>0</v>
      </c>
      <c r="AD115">
        <f>IF($N$9=0,"",IF(Z115="","",IF(ROUND(AC115-$N$9,0)=0,"LOT 4",IF(Z115&lt;0.5,"",IF(AB115-AA115&lt;$N$9,"PARTIAL","NOT")))))</f>
      </c>
      <c r="AF115" s="12">
        <f>IF(Z115="",0,$N$9-AC115-AC104-AC93-AC82)</f>
        <v>0</v>
      </c>
      <c r="AG115" s="7" t="s">
        <v>49</v>
      </c>
      <c r="AH115" s="12">
        <f>IF(AC115=0,"",IF(AI114="",$J$33,IF(AJ114="",AH114-AI114,"")))</f>
      </c>
      <c r="AI115" s="12">
        <f aca="true" t="shared" si="39" ref="AI115:AI121">IF(AH115="","",IF(AC115&gt;=AH115,AH115,AC115))</f>
      </c>
      <c r="AJ115" s="65">
        <f aca="true" t="shared" si="40" ref="AJ115:AJ123">IF(AH115="","",IF(ROUND(AI115-AH115,0)=0,AA115+AI115*V63,IF(AI115=AC115,"",AA115+AI115*V63)))</f>
      </c>
      <c r="AK115" s="7" t="s">
        <v>49</v>
      </c>
      <c r="AL115" s="12">
        <f>IF(AC115=0,"",IF(AM114="",$J$34,IF(AN114="",AL114-AM114,"")))</f>
      </c>
      <c r="AM115" s="12">
        <f aca="true" t="shared" si="41" ref="AM115:AM121">IF(AL115="","",IF(AC115&gt;=AL115,AL115,AC115))</f>
      </c>
      <c r="AN115" s="65">
        <f aca="true" t="shared" si="42" ref="AN115:AN123">IF(AL115="","",IF(ROUND(AM115-AL115,0)=0,AA115+AM115*V63,IF(AM115=AC115,"",AA115+AM115*V63)))</f>
      </c>
      <c r="AO115" s="7" t="s">
        <v>49</v>
      </c>
      <c r="AU115" s="1" t="s">
        <v>176</v>
      </c>
    </row>
    <row r="116" spans="18:47" ht="12.75" hidden="1">
      <c r="R116" s="44"/>
      <c r="X116" s="7"/>
      <c r="Y116" s="7">
        <v>3</v>
      </c>
      <c r="Z116" s="12">
        <f t="shared" si="38"/>
      </c>
      <c r="AA116" s="65">
        <f>IF(Z116&lt;0.5,0,IF(Z116="",0,IF(AB105=0,$J$10,AB105)))</f>
        <v>0</v>
      </c>
      <c r="AB116" s="65">
        <f>IF(Z116="",0,IF(Z116&lt;0.5,0,IF(Z116&lt;=AF105,AA116+Z116*V64,$L$10)))</f>
        <v>0</v>
      </c>
      <c r="AC116" s="12">
        <f t="shared" si="37"/>
        <v>0</v>
      </c>
      <c r="AD116">
        <f>IF($N$10=0,"",IF(Z116="","",IF(ROUND(AC116-$N$10,0)=0,"LOT 4",IF(Z116&lt;0.5,"",IF(AC116&lt;$N$10,"PARTIAL","NOT")))))</f>
      </c>
      <c r="AF116" s="12">
        <f>IF(Z116="",0,$N$10-AC116-AC105-AC94-AC83)</f>
        <v>0</v>
      </c>
      <c r="AG116" s="7" t="s">
        <v>54</v>
      </c>
      <c r="AH116" s="12">
        <f>IF(AC116=0,"",IF(AND(AI114="",AI115=""),$J$33,IF(AND(AJ114="",AJ115=""),AH115-AI115,"")))</f>
      </c>
      <c r="AI116" s="12">
        <f t="shared" si="39"/>
      </c>
      <c r="AJ116" s="65">
        <f t="shared" si="40"/>
      </c>
      <c r="AK116" s="7" t="s">
        <v>54</v>
      </c>
      <c r="AL116" s="12">
        <f>IF(AC116=0,"",IF(AND(AM114="",AM115=""),$J$34,IF(AND(AN114="",AN115=""),AL115-AM115,"")))</f>
      </c>
      <c r="AM116" s="12">
        <f t="shared" si="41"/>
      </c>
      <c r="AN116" s="65">
        <f t="shared" si="42"/>
      </c>
      <c r="AO116" s="7" t="s">
        <v>54</v>
      </c>
      <c r="AU116" s="1" t="s">
        <v>177</v>
      </c>
    </row>
    <row r="117" spans="24:47" ht="12.75" hidden="1">
      <c r="X117" s="7"/>
      <c r="Y117" s="7">
        <v>4</v>
      </c>
      <c r="Z117" s="12">
        <f t="shared" si="38"/>
      </c>
      <c r="AA117" s="65">
        <f>IF(Z117&lt;0.5,0,IF(Z117="",0,IF(AB106=0,$J$11,AB106)))</f>
        <v>0</v>
      </c>
      <c r="AB117" s="65">
        <f>IF(Z117="",0,IF(Z117&lt;0.5,0,IF(Z117&lt;=AF106,AA117+Z117*V65,$L$11)))</f>
        <v>0</v>
      </c>
      <c r="AC117" s="12">
        <f t="shared" si="37"/>
        <v>0</v>
      </c>
      <c r="AD117">
        <f>IF($N$11=0,"",IF(Z117="","",IF(ROUND(AC117-$N$11,0)=0,"LOT 4",IF(Z117&lt;0.5,"",IF(AB117-AA117&lt;$N$11,"PARTIAL","NOT")))))</f>
      </c>
      <c r="AF117" s="12">
        <f>IF(Z117="",0,$N$11-AC117-AC106-AC95-AC84)</f>
        <v>0</v>
      </c>
      <c r="AG117" s="7" t="s">
        <v>56</v>
      </c>
      <c r="AH117" s="12">
        <f>IF(AC117=0,"",IF(AND(AI114="",AI115="",AI116=""),$J$33,IF(AND(AJ114="",AJ115="",AJ116=""),AH116-AI116,"")))</f>
      </c>
      <c r="AI117" s="12">
        <f t="shared" si="39"/>
      </c>
      <c r="AJ117" s="65">
        <f t="shared" si="40"/>
      </c>
      <c r="AK117" s="7" t="s">
        <v>56</v>
      </c>
      <c r="AL117" s="12">
        <f>IF(AC117=0,"",IF(AND(AM114="",AM115="",AM116=""),$J$34,IF(AND(AN114="",AN115="",AN116=""),AL116-AM116,"")))</f>
      </c>
      <c r="AM117" s="12">
        <f t="shared" si="41"/>
      </c>
      <c r="AN117" s="65">
        <f t="shared" si="42"/>
      </c>
      <c r="AO117" s="7" t="s">
        <v>56</v>
      </c>
      <c r="AU117" s="1" t="s">
        <v>178</v>
      </c>
    </row>
    <row r="118" spans="24:47" ht="12.75" hidden="1">
      <c r="X118" s="7"/>
      <c r="Y118" s="7">
        <v>5</v>
      </c>
      <c r="Z118" s="12">
        <f t="shared" si="38"/>
      </c>
      <c r="AA118" s="65">
        <f>IF(Z118&lt;0.5,0,IF(Z118="",0,IF(AB107=0,$J$12,AB107)))</f>
        <v>0</v>
      </c>
      <c r="AB118" s="65">
        <f>IF(Z118="",0,IF(Z118&lt;0.5,0,IF(Z118&lt;=AF107,AA118+Z118*V66,$L$12)))</f>
        <v>0</v>
      </c>
      <c r="AC118" s="12">
        <f t="shared" si="37"/>
        <v>0</v>
      </c>
      <c r="AD118">
        <f>IF($N$12=0,"",IF(Z118="","",IF(ROUND(AC118-$N$12,0)=0,"LOT 4",IF(Z118&lt;0.5,"",IF(AB118-AA118&lt;$N$12,"PARTIAL","NOT")))))</f>
      </c>
      <c r="AF118" s="12">
        <f>IF(Z118="",0,$N$12-AC118-AC107-AC96-AC85)</f>
        <v>0</v>
      </c>
      <c r="AG118" s="7" t="s">
        <v>58</v>
      </c>
      <c r="AH118" s="12">
        <f>IF(AC118=0,"",IF(AND(AI114="",AI115="",AI116="",AI117=""),$J$33,IF(AND(AJ114="",AJ115="",AJ116="",AJ117=""),AH117-AI117,"")))</f>
      </c>
      <c r="AI118" s="12">
        <f t="shared" si="39"/>
      </c>
      <c r="AJ118" s="65">
        <f t="shared" si="40"/>
      </c>
      <c r="AK118" s="7" t="s">
        <v>58</v>
      </c>
      <c r="AL118" s="12">
        <f>IF(AC118=0,"",IF(AND(AM114="",AM115="",AM116="",AM117=""),$J$34,IF(AND(AN114="",AN115="",AN116="",AN117=""),AL117-AM117,"")))</f>
      </c>
      <c r="AM118" s="12">
        <f t="shared" si="41"/>
      </c>
      <c r="AN118" s="65">
        <f t="shared" si="42"/>
      </c>
      <c r="AO118" s="7" t="s">
        <v>58</v>
      </c>
      <c r="AU118" s="1" t="s">
        <v>179</v>
      </c>
    </row>
    <row r="119" spans="24:47" ht="12.75" hidden="1">
      <c r="X119" s="7"/>
      <c r="Y119" s="7">
        <v>6</v>
      </c>
      <c r="Z119" s="12">
        <f t="shared" si="38"/>
      </c>
      <c r="AA119" s="65">
        <f>IF(Z119&lt;0.5,0,IF(Z119="",0,IF(AB108=0,$J$13,AB108)))</f>
        <v>0</v>
      </c>
      <c r="AB119" s="65">
        <f>IF(Z119="",0,IF(Z119&lt;0.5,0,IF(Z119&lt;=AF108,AA119+Z119*V67,$L$13)))</f>
        <v>0</v>
      </c>
      <c r="AC119" s="12">
        <f t="shared" si="37"/>
        <v>0</v>
      </c>
      <c r="AD119">
        <f>IF($N$13=0,"",IF(Z119="","",IF(ROUND(AC119-$N$13,0)=0,"LOT 4",IF(Z119&lt;0.5,"",IF(AB119-AA119&lt;$N$13,"PARTIAL","NOT")))))</f>
      </c>
      <c r="AF119" s="12">
        <f>IF(Z119="",0,$N$13-AC119-AC108-AC97-AC86)</f>
        <v>0</v>
      </c>
      <c r="AG119" s="7" t="s">
        <v>61</v>
      </c>
      <c r="AH119" s="12">
        <f>IF(AC119=0,"",IF(AND(AI114="",AI115="",AI116="",AI117="",AI118=""),$J$33,IF(AND(AJ114="",AJ115="",AJ116="",AJ117="",AJ118=""),AH118-AI118,"")))</f>
      </c>
      <c r="AI119" s="12">
        <f t="shared" si="39"/>
      </c>
      <c r="AJ119" s="65">
        <f t="shared" si="40"/>
      </c>
      <c r="AK119" s="7" t="s">
        <v>61</v>
      </c>
      <c r="AL119" s="12">
        <f>IF(AC119=0,"",IF(AND(AM114="",AM115="",AM116="",AM117="",AM118=""),$J$34,IF(AND(AN114="",AN115="",AN116="",AN117="",AN118=""),AL118-AM118,"")))</f>
      </c>
      <c r="AM119" s="12">
        <f t="shared" si="41"/>
      </c>
      <c r="AN119" s="65">
        <f t="shared" si="42"/>
      </c>
      <c r="AO119" s="7" t="s">
        <v>61</v>
      </c>
      <c r="AU119" s="1" t="s">
        <v>180</v>
      </c>
    </row>
    <row r="120" spans="24:47" ht="12.75" hidden="1">
      <c r="X120" s="7"/>
      <c r="Y120" s="7">
        <v>7</v>
      </c>
      <c r="Z120" s="12">
        <f t="shared" si="38"/>
      </c>
      <c r="AA120" s="65">
        <f>IF(Z120&lt;0.5,0,IF(Z120="",0,IF(AB109=0,$J$14,AB109)))</f>
        <v>0</v>
      </c>
      <c r="AB120" s="65">
        <f>IF(Z120="",0,IF(Z120&lt;0.5,0,IF(Z120&lt;=AF109,AA120+Z120*V68,$L$14)))</f>
        <v>0</v>
      </c>
      <c r="AC120" s="12">
        <f>ABS(AB120-AA120)</f>
        <v>0</v>
      </c>
      <c r="AD120">
        <f>IF($N$14=0,"",IF(Z120="","",IF(ROUND(AC120-$N$14,0)=0,"LOT 4",IF(Z120&lt;0.5,"",IF(AB120-AA120&lt;$N$14,"PARTIAL","NOT")))))</f>
      </c>
      <c r="AF120" s="12">
        <f>IF(Z120="",0,$N$14-AC120-AC109-AC98-AC87)</f>
        <v>0</v>
      </c>
      <c r="AG120" s="7" t="s">
        <v>237</v>
      </c>
      <c r="AH120" s="12">
        <f>IF(AC120=0,"",IF(AND(AI114="",AI115="",AI116="",AI117="",AI118="",AI119=""),$J$33,IF(AND(AJ114="",AJ115="",AJ116="",AJ117="",AJ118="",AJ119=""),AH119-AI119,"")))</f>
      </c>
      <c r="AI120" s="12">
        <f t="shared" si="39"/>
      </c>
      <c r="AJ120" s="65">
        <f t="shared" si="40"/>
      </c>
      <c r="AK120" s="7" t="s">
        <v>237</v>
      </c>
      <c r="AL120" s="12">
        <f>IF(AC120=0,"",IF(AND(AM114="",AM115="",AM116="",AM117="",AM118="",AM119=""),$J$34,IF(AND(AN114="",AN115="",AN116="",AN117="",AN118="",AN119=""),AL119-AM119,"")))</f>
      </c>
      <c r="AM120" s="12">
        <f t="shared" si="41"/>
      </c>
      <c r="AN120" s="65">
        <f t="shared" si="42"/>
      </c>
      <c r="AO120" s="7" t="s">
        <v>237</v>
      </c>
      <c r="AU120" s="1" t="s">
        <v>181</v>
      </c>
    </row>
    <row r="121" spans="24:47" ht="12.75" hidden="1">
      <c r="X121" s="7"/>
      <c r="Y121" s="7">
        <v>8</v>
      </c>
      <c r="Z121" s="12">
        <f t="shared" si="38"/>
      </c>
      <c r="AA121" s="65">
        <f>IF(Z121&lt;0.5,0,IF(Z121="",0,IF(AB110=0,$J$15,AB110)))</f>
        <v>0</v>
      </c>
      <c r="AB121" s="65">
        <f>IF(Z121="",0,IF(Z121&lt;0.5,0,IF(Z121&lt;=AF110,AA121+Z121*V69,$L$15)))</f>
        <v>0</v>
      </c>
      <c r="AC121" s="12">
        <f>ABS(AB121-AA121)</f>
        <v>0</v>
      </c>
      <c r="AD121">
        <f>IF($N$15=0,"",IF(Z121="","",IF(ROUND(AC121-$N$15,0)=0,"LOT 4",IF(Z121&lt;0.5,"",IF(AB121-AA121&lt;$N$15,"PARTIAL","NOT")))))</f>
      </c>
      <c r="AF121" s="12">
        <f>IF(Z121="",0,$N$15-AC121-AC110-AC99-AC88)</f>
        <v>0</v>
      </c>
      <c r="AG121" s="7" t="s">
        <v>238</v>
      </c>
      <c r="AH121" s="12">
        <f>IF(AC121=0,"",IF(AND(AI114="",AI115="",AI116="",AI117="",AI118="",AI119="",AI120=""),$J$33,IF(AND(AJ114="",AJ115="",AJ116="",AJ117="",AJ118="",AJ119="",AJ120=""),AH120-AI120,"")))</f>
      </c>
      <c r="AI121" s="12">
        <f t="shared" si="39"/>
      </c>
      <c r="AJ121" s="65">
        <f t="shared" si="40"/>
      </c>
      <c r="AK121" s="7" t="s">
        <v>238</v>
      </c>
      <c r="AL121" s="12">
        <f>IF(AC121=0,"",IF(AND(AM114="",AM115="",AM116="",AM117="",AM118="",AM119="",AM120=""),$J$34,IF(AND(AN114="",AN115="",AN116="",AN117="",AN118="",AN119="",AN120=""),AL120-AM120,"")))</f>
      </c>
      <c r="AM121" s="12">
        <f t="shared" si="41"/>
      </c>
      <c r="AN121" s="65">
        <f t="shared" si="42"/>
      </c>
      <c r="AO121" s="7" t="s">
        <v>238</v>
      </c>
      <c r="AU121" s="1" t="s">
        <v>182</v>
      </c>
    </row>
    <row r="122" spans="24:47" ht="12.75" hidden="1">
      <c r="X122" s="7"/>
      <c r="Y122" s="7">
        <v>9</v>
      </c>
      <c r="Z122" s="12">
        <f>IF(ROUND(AF111,0)=0,"",IF(Z121="",$L$19,ABS(Z121-AC121)))</f>
        <v>9021.25</v>
      </c>
      <c r="AA122" s="65">
        <f>IF(Z122&lt;0.5,0,IF(Z122="",0,IF(AB111=0,$J$16,AB111)))</f>
        <v>149348.25</v>
      </c>
      <c r="AB122" s="65">
        <f>IF(Z122="",0,IF(Z122&lt;0.5,0,IF(Z122&lt;=AF111,AA122+Z122*V70,$L$16)))</f>
        <v>142165</v>
      </c>
      <c r="AC122" s="12">
        <f>ABS(AB122-AA122)</f>
        <v>7183.25</v>
      </c>
      <c r="AD122" t="str">
        <f>IF($N$16=0,"",IF(Z122="","",IF(ROUND(AC122-$N$16,0)=0,"LOT 4",IF(Z122&lt;0.5,"",IF(AB122-AA122&lt;$N$16,"PARTIAL","NOT")))))</f>
        <v>PARTIAL</v>
      </c>
      <c r="AF122" s="12">
        <f>IF(Z122="",0,$N$16-AC122-AC111-AC100-AC89)</f>
        <v>0</v>
      </c>
      <c r="AG122" s="7" t="s">
        <v>276</v>
      </c>
      <c r="AH122" s="12">
        <f>IF(AC122=0,"",IF(AND(AI114="",AI115="",AI116="",AI117="",AI118="",AI119="",AI120="",AI121=""),$J$33,IF(AND(AJ114="",AJ115="",AJ116="",AJ117="",AJ118="",AJ119="",AJ120="",AJ121=""),AH121-AI121,"")))</f>
        <v>1086.4172418415546</v>
      </c>
      <c r="AI122" s="12">
        <f>IF(AH122="","",IF(AC122&gt;=AH122,AH122,AC122))</f>
        <v>1086.4172418415546</v>
      </c>
      <c r="AJ122" s="65">
        <f t="shared" si="40"/>
        <v>148261.83275815845</v>
      </c>
      <c r="AK122" s="7" t="s">
        <v>276</v>
      </c>
      <c r="AL122" s="12">
        <f>IF(AC122=0,"",IF(AND(AM114="",AM115="",AM116="",AM117="",AM118="",AM119="",AM120="",AM121=""),$J$34,IF(AND(AN114="",AN115="",AN116="",AN117="",AN118="",AN119="",AN120="",AN121=""),AL121-AM121,"")))</f>
        <v>1953.6478701978922</v>
      </c>
      <c r="AM122" s="12">
        <f>IF(AL122="","",IF(AC122&gt;=AL122,AL122,AC122))</f>
        <v>1953.6478701978922</v>
      </c>
      <c r="AN122" s="65">
        <f t="shared" si="42"/>
        <v>147394.6021298021</v>
      </c>
      <c r="AO122" s="7" t="s">
        <v>276</v>
      </c>
      <c r="AU122" s="1"/>
    </row>
    <row r="123" spans="24:47" ht="12.75" hidden="1">
      <c r="X123" s="7"/>
      <c r="Y123" s="7">
        <v>10</v>
      </c>
      <c r="Z123" s="12">
        <f>IF(ROUND(AF112,0)=0,"",IF(Z122="",$L$19,ABS(Z122-AC122)))</f>
        <v>1838</v>
      </c>
      <c r="AA123" s="65">
        <f>IF(Z123&lt;0.5,0,IF(Z123="",0,IF(AB112=0,$J$17,AB112)))</f>
        <v>141388</v>
      </c>
      <c r="AB123" s="65">
        <f>IF(Z123="",0,IF(Z123&lt;0.5,0,IF(Z123&lt;=AF112,AA123+Z123*V71,$L$17)))</f>
        <v>139550</v>
      </c>
      <c r="AC123" s="12">
        <f>ABS(AB123-AA123)</f>
        <v>1838</v>
      </c>
      <c r="AD123" t="str">
        <f>IF($N$17=0,"",IF(Z123="","",IF(ROUND(AC123-$N$17,0)=0,"LOT 4",IF(Z123&lt;0.5,"",IF(AB123-AA123&lt;$N$17,"PARTIAL","NOT")))))</f>
        <v>LOT 4</v>
      </c>
      <c r="AF123" s="12">
        <f>IF(Z123="",0,$N$17-AC123-AC112-AC101-AC90)</f>
        <v>0</v>
      </c>
      <c r="AG123" s="7" t="s">
        <v>296</v>
      </c>
      <c r="AH123" s="12">
        <f>IF(AC123=0,"",IF(AND(AI114="",AI115="",AI116="",AI117="",AI118="",AI119="",AI120="",AI121="",AI122=""),$J$33,IF(AND(AJ114="",AJ115="",AJ116="",AJ117="",AJ118="",AJ119="",AJ120="",AJ121="",AJ122=""),AH122-AI122,"")))</f>
      </c>
      <c r="AI123" s="12">
        <f>IF(AH123="","",IF(AC123&gt;=AH123,AH123,AC123))</f>
      </c>
      <c r="AJ123" s="65">
        <f t="shared" si="40"/>
      </c>
      <c r="AK123" s="7" t="s">
        <v>296</v>
      </c>
      <c r="AL123" s="12">
        <f>IF(AC123=0,"",IF(AND(AM114="",AM115="",AM116="",AM117="",AM118="",AM119="",AM120="",AM121="",AM122=""),$J$34,IF(AND(AN114="",AN115="",AN116="",AN117="",AN118="",AN119="",AN120="",AN121="",AN122=""),AL122-AM122,"")))</f>
      </c>
      <c r="AM123" s="12">
        <f>IF(AL123="","",IF(AC123&gt;=AL123,AL123,AC123))</f>
      </c>
      <c r="AN123" s="65">
        <f t="shared" si="42"/>
      </c>
      <c r="AO123" s="7" t="s">
        <v>296</v>
      </c>
      <c r="AU123" s="1"/>
    </row>
    <row r="124" spans="24:47" ht="12.75" hidden="1">
      <c r="X124" s="7"/>
      <c r="Y124" s="7"/>
      <c r="Z124" s="12"/>
      <c r="AU124" s="1" t="s">
        <v>183</v>
      </c>
    </row>
    <row r="125" spans="24:47" ht="12.75" hidden="1">
      <c r="X125" s="7">
        <v>5</v>
      </c>
      <c r="Y125" s="7">
        <v>1</v>
      </c>
      <c r="Z125" s="12">
        <f>IF($L$18&lt;5,"",(IF(ROUND(AF114,0)=0,"",$L$19)))</f>
      </c>
      <c r="AA125" s="65">
        <f>IF(Z125&lt;0.5,0,IF(Z125="",0,IF(AB114=0,$J$8,AB114)))</f>
        <v>0</v>
      </c>
      <c r="AB125" s="65">
        <f>IF(Z125="",0,IF(Z125&lt;0.5,0,IF(Z125&lt;=AF114,AA125+Z125*V62,$L$8)))</f>
        <v>0</v>
      </c>
      <c r="AC125" s="12">
        <f aca="true" t="shared" si="43" ref="AC125:AC130">ABS(AB125-AA125)</f>
        <v>0</v>
      </c>
      <c r="AD125">
        <f>IF($N$8=0,"",IF(Z125="","",IF(ROUND(AC125-$N$8,0)=0,"LOT 5",IF(Z125&lt;0.5,"",IF(AB125-AA125&lt;$N$8,"PARTIAL","NOT")))))</f>
      </c>
      <c r="AF125" s="12">
        <f>IF(Z125="",0,$N$8-AC125-AC114-AC103-AC92-AC81)</f>
        <v>0</v>
      </c>
      <c r="AG125" s="7" t="s">
        <v>46</v>
      </c>
      <c r="AH125" s="12">
        <f>IF(AC125=0,"",$J$36)</f>
      </c>
      <c r="AI125" s="12">
        <f>IF(AC125=0,"",IF(AC125&gt;=AH125,AH125,AC125))</f>
      </c>
      <c r="AJ125" s="65">
        <f>IF(AH125="","",IF(AI125=AC125,"",AA125+AI125*V62))</f>
      </c>
      <c r="AK125" s="7" t="s">
        <v>46</v>
      </c>
      <c r="AL125" s="12">
        <f>IF(AC125=0,"",$J$37)</f>
      </c>
      <c r="AM125" s="12">
        <f>IF(AC125=0,"",IF(AC125&gt;=AL125,AL125,AC125))</f>
      </c>
      <c r="AN125" s="65">
        <f>IF(AL125="","",IF(AM125=AC125,"",AA125+AM125*V62))</f>
      </c>
      <c r="AO125" s="7" t="s">
        <v>46</v>
      </c>
      <c r="AU125" s="1" t="s">
        <v>184</v>
      </c>
    </row>
    <row r="126" spans="24:47" ht="12.75" hidden="1">
      <c r="X126" s="7"/>
      <c r="Y126" s="7">
        <v>2</v>
      </c>
      <c r="Z126" s="12">
        <f aca="true" t="shared" si="44" ref="Z126:Z132">IF(ROUND(AF115,0)=0,"",IF(Z125="",$L$19,ABS(Z125-AC125)))</f>
      </c>
      <c r="AA126" s="65">
        <f>IF(Z126&lt;0.5,0,IF(Z126="",0,IF(AB115=0,$J$9,AB115)))</f>
        <v>0</v>
      </c>
      <c r="AB126" s="65">
        <f>IF(Z126="",0,IF(Z126&lt;0.5,0,IF(Z126&lt;=AF115,AA126+Z126*V63,$L$9)))</f>
        <v>0</v>
      </c>
      <c r="AC126" s="12">
        <f t="shared" si="43"/>
        <v>0</v>
      </c>
      <c r="AD126">
        <f>IF($N$9=0,"",IF(Z126="","",IF(ROUND(AC126-$N$9,0)=0,"LOT 5",IF(Z126&lt;0.5,"",IF(AB126-AA126&lt;$N$9,"PARTIAL","NOT")))))</f>
      </c>
      <c r="AF126" s="12">
        <f>IF(Z126="",0,$N$9-AC126-AC115-AC104-AC93-AC82)</f>
        <v>0</v>
      </c>
      <c r="AG126" s="7" t="s">
        <v>49</v>
      </c>
      <c r="AH126" s="12">
        <f>IF(AC126=0,"",IF(AI125="",$J$36,IF(AJ125="",AH125-AI125,"")))</f>
      </c>
      <c r="AI126" s="12">
        <f aca="true" t="shared" si="45" ref="AI126:AI132">IF(AH126="","",IF(AC126&gt;=AH126,AH126,AC126))</f>
      </c>
      <c r="AJ126" s="65">
        <f aca="true" t="shared" si="46" ref="AJ126:AJ134">IF(AH126="","",IF(ROUND(AI126-AH126,0)=0,AA126+AI126*V63,IF(AI126=AC126,"",AA126+AI126*V63)))</f>
      </c>
      <c r="AK126" s="7" t="s">
        <v>49</v>
      </c>
      <c r="AL126" s="12">
        <f>IF(AC126=0,"",IF(AM125="",$J$37,IF(AN125="",AL125-AM125,"")))</f>
      </c>
      <c r="AM126" s="12">
        <f aca="true" t="shared" si="47" ref="AM126:AM132">IF(AL126="","",IF(AC126&gt;=AL126,AL126,AC126))</f>
      </c>
      <c r="AN126" s="65">
        <f aca="true" t="shared" si="48" ref="AN126:AN134">IF(AL126="","",IF(ROUND(AM126-AL126,0)=0,AA126+AM126*V63,IF(AM126=AC126,"",AA126+AM126*V63)))</f>
      </c>
      <c r="AO126" s="7" t="s">
        <v>49</v>
      </c>
      <c r="AU126" s="1" t="s">
        <v>185</v>
      </c>
    </row>
    <row r="127" spans="24:47" ht="12.75" hidden="1">
      <c r="X127" s="7"/>
      <c r="Y127" s="7">
        <v>3</v>
      </c>
      <c r="Z127" s="12">
        <f t="shared" si="44"/>
      </c>
      <c r="AA127" s="65">
        <f>IF(Z127&lt;0.5,0,IF(Z127="",0,IF(AB116=0,$J$10,AB116)))</f>
        <v>0</v>
      </c>
      <c r="AB127" s="65">
        <f>IF(Z127="",0,IF(Z127&lt;0.5,0,IF(Z127&lt;=AF116,AA127+Z127*V64,$L$10)))</f>
        <v>0</v>
      </c>
      <c r="AC127" s="12">
        <f t="shared" si="43"/>
        <v>0</v>
      </c>
      <c r="AD127">
        <f>IF($N$10=0,"",IF(Z127="","",IF(ROUND(AC127-$N$10,0)=0,"LOT 5",IF(Z127&lt;0.5,"",IF(AC127&lt;$N$10,"PARTIAL","NOT")))))</f>
      </c>
      <c r="AF127" s="12">
        <f>IF(Z127="",0,$N$10-AC127-AC116-AC105-AC94-AC83)</f>
        <v>0</v>
      </c>
      <c r="AG127" s="7" t="s">
        <v>54</v>
      </c>
      <c r="AH127" s="12">
        <f>IF(AC127=0,"",IF(AND(AI125="",AI126=""),$J$36,IF(AND(AJ125="",AJ126=""),AH126-AI126,"")))</f>
      </c>
      <c r="AI127" s="12">
        <f t="shared" si="45"/>
      </c>
      <c r="AJ127" s="65">
        <f t="shared" si="46"/>
      </c>
      <c r="AK127" s="7" t="s">
        <v>54</v>
      </c>
      <c r="AL127" s="12">
        <f>IF(AC127=0,"",IF(AND(AM125="",AM126=""),$J$37,IF(AND(AN125="",AN126=""),AL126-AM126,"")))</f>
      </c>
      <c r="AM127" s="12">
        <f t="shared" si="47"/>
      </c>
      <c r="AN127" s="65">
        <f t="shared" si="48"/>
      </c>
      <c r="AO127" s="7" t="s">
        <v>54</v>
      </c>
      <c r="AU127" s="1" t="s">
        <v>186</v>
      </c>
    </row>
    <row r="128" spans="24:47" ht="12.75" hidden="1">
      <c r="X128" s="7"/>
      <c r="Y128" s="7">
        <v>4</v>
      </c>
      <c r="Z128" s="12">
        <f t="shared" si="44"/>
      </c>
      <c r="AA128" s="65">
        <f>IF(Z128&lt;0.5,0,IF(Z128="",0,IF(AB117=0,$J$11,AB117)))</f>
        <v>0</v>
      </c>
      <c r="AB128" s="65">
        <f>IF(Z128="",0,IF(Z128&lt;0.5,0,IF(Z128&lt;=AF117,AA128+Z128*V65,$L$11)))</f>
        <v>0</v>
      </c>
      <c r="AC128" s="12">
        <f t="shared" si="43"/>
        <v>0</v>
      </c>
      <c r="AD128">
        <f>IF($N$11=0,"",IF(Z128="","",IF(ROUND(AC128-$N$11,0)=0,"LOT 5",IF(Z128&lt;0.5,"",IF(AB128-AA128&lt;$N$11,"PARTIAL","NOT")))))</f>
      </c>
      <c r="AF128" s="12">
        <f>IF(Z128="",0,$N$11-AC128-AC117-AC106-AC95-AC84)</f>
        <v>0</v>
      </c>
      <c r="AG128" s="7" t="s">
        <v>56</v>
      </c>
      <c r="AH128" s="12">
        <f>IF(AC128=0,"",IF(AND(AI125="",AI126="",AI127=""),$J$36,IF(AND(AJ125="",AJ126="",AJ127=""),AH127-AI127,"")))</f>
      </c>
      <c r="AI128" s="12">
        <f t="shared" si="45"/>
      </c>
      <c r="AJ128" s="65">
        <f t="shared" si="46"/>
      </c>
      <c r="AK128" s="7" t="s">
        <v>56</v>
      </c>
      <c r="AL128" s="12">
        <f>IF(AC128=0,"",IF(AND(AM125="",AM126="",AM127=""),$J$37,IF(AND(AN125="",AN126="",AN127=""),AL127-AM127,"")))</f>
      </c>
      <c r="AM128" s="12">
        <f t="shared" si="47"/>
      </c>
      <c r="AN128" s="65">
        <f t="shared" si="48"/>
      </c>
      <c r="AO128" s="7" t="s">
        <v>56</v>
      </c>
      <c r="AU128" s="1" t="s">
        <v>187</v>
      </c>
    </row>
    <row r="129" spans="24:47" ht="12.75" hidden="1">
      <c r="X129" s="7"/>
      <c r="Y129" s="7">
        <v>5</v>
      </c>
      <c r="Z129" s="12">
        <f t="shared" si="44"/>
      </c>
      <c r="AA129" s="65">
        <f>IF(Z129&lt;0.5,0,IF(Z129="",0,IF(AB118=0,$J$12,AB118)))</f>
        <v>0</v>
      </c>
      <c r="AB129" s="65">
        <f>IF(Z129="",0,IF(Z129&lt;0.5,0,IF(Z129&lt;=AF118,AA129+Z129*V66,$L$12)))</f>
        <v>0</v>
      </c>
      <c r="AC129" s="12">
        <f t="shared" si="43"/>
        <v>0</v>
      </c>
      <c r="AD129">
        <f>IF($N$12=0,"",IF(Z129="","",IF(ROUND(AC129-$N$12,0)=0,"LOT 5",IF(Z129&lt;0.5,"",IF(AB129-AA129&lt;$N$12,"PARTIAL","NOT")))))</f>
      </c>
      <c r="AF129" s="12">
        <f>IF(Z129="",0,$N$12-AC129-AC118-AC107-AC96-AC85)</f>
        <v>0</v>
      </c>
      <c r="AG129" s="7" t="s">
        <v>58</v>
      </c>
      <c r="AH129" s="12">
        <f>IF(AC129=0,"",IF(AND(AI125="",AI126="",AI127="",AI128=""),$J$36,IF(AND(AJ125="",AJ126="",AJ127="",AJ128=""),AH128-AI128,"")))</f>
      </c>
      <c r="AI129" s="12">
        <f t="shared" si="45"/>
      </c>
      <c r="AJ129" s="65">
        <f t="shared" si="46"/>
      </c>
      <c r="AK129" s="7" t="s">
        <v>58</v>
      </c>
      <c r="AL129" s="12">
        <f>IF(AC129=0,"",IF(AND(AM125="",AM126="",AM127="",AM128=""),$J$37,IF(AND(AN125="",AN126="",AN127="",AN128=""),AL128-AM128,"")))</f>
      </c>
      <c r="AM129" s="12">
        <f t="shared" si="47"/>
      </c>
      <c r="AN129" s="65">
        <f t="shared" si="48"/>
      </c>
      <c r="AO129" s="7" t="s">
        <v>58</v>
      </c>
      <c r="AU129" s="1" t="s">
        <v>188</v>
      </c>
    </row>
    <row r="130" spans="24:47" ht="12.75" hidden="1">
      <c r="X130" s="7"/>
      <c r="Y130" s="7">
        <v>6</v>
      </c>
      <c r="Z130" s="12">
        <f t="shared" si="44"/>
      </c>
      <c r="AA130" s="65">
        <f>IF(Z130&lt;0.5,0,IF(Z130="",0,IF(AB119=0,$J$13,AB119)))</f>
        <v>0</v>
      </c>
      <c r="AB130" s="65">
        <f>IF(Z130="",0,IF(Z130&lt;0.5,0,IF(Z130&lt;=AF119,AA130+Z130*V67,$L$13)))</f>
        <v>0</v>
      </c>
      <c r="AC130" s="12">
        <f t="shared" si="43"/>
        <v>0</v>
      </c>
      <c r="AD130">
        <f>IF($N$13=0,"",IF(Z130="","",IF(ROUND(AC130-$N$13,0)=0,"LOT 5",IF(Z130&lt;0.5,"",IF(AB130-AA130&lt;$N$13,"PARTIAL","NOT")))))</f>
      </c>
      <c r="AF130" s="12">
        <f>IF(Z130="",0,$N$13-AC130-AC119-AC108-AC97-AC86)</f>
        <v>0</v>
      </c>
      <c r="AG130" s="7" t="s">
        <v>61</v>
      </c>
      <c r="AH130" s="12">
        <f>IF(AC130=0,"",IF(AND(AI125="",AI126="",AI127="",AI128="",AI129=""),$J$36,IF(AND(AJ125="",AJ126="",AJ127="",AJ128="",AJ129=""),AH129-AI129,"")))</f>
      </c>
      <c r="AI130" s="12">
        <f t="shared" si="45"/>
      </c>
      <c r="AJ130" s="65">
        <f t="shared" si="46"/>
      </c>
      <c r="AK130" s="7" t="s">
        <v>61</v>
      </c>
      <c r="AL130" s="12">
        <f>IF(AC130=0,"",IF(AND(AM125="",AM126="",AM127="",AM128="",AM129=""),$J$37,IF(AND(AN125="",AN126="",AN127="",AN128="",AN129=""),AL129-AM129,"")))</f>
      </c>
      <c r="AM130" s="12">
        <f t="shared" si="47"/>
      </c>
      <c r="AN130" s="65">
        <f t="shared" si="48"/>
      </c>
      <c r="AO130" s="7" t="s">
        <v>61</v>
      </c>
      <c r="AU130" s="1" t="s">
        <v>189</v>
      </c>
    </row>
    <row r="131" spans="24:47" ht="12.75" hidden="1">
      <c r="X131" s="7"/>
      <c r="Y131" s="7">
        <v>7</v>
      </c>
      <c r="Z131" s="12">
        <f t="shared" si="44"/>
      </c>
      <c r="AA131" s="65">
        <f>IF(Z131&lt;0.5,0,IF(Z131="",0,IF(AB120=0,$J$14,AB120)))</f>
        <v>0</v>
      </c>
      <c r="AB131" s="65">
        <f>IF(Z131="",0,IF(Z131&lt;0.5,0,IF(Z131&lt;=AF120,AA131+Z131*V68,$L$14)))</f>
        <v>0</v>
      </c>
      <c r="AC131" s="12">
        <f>ABS(AB131-AA131)</f>
        <v>0</v>
      </c>
      <c r="AD131">
        <f>IF($N$14=0,"",IF(Z131="","",IF(ROUND(AC131-$N$14,0)=0,"LOT 5",IF(Z131&lt;0.5,"",IF(AB131-AA131&lt;$N$14,"PARTIAL","NOT")))))</f>
      </c>
      <c r="AF131" s="12">
        <f>IF(Z131="",0,$N$14-AC131-AC120-AC109-AC98-AC87)</f>
        <v>0</v>
      </c>
      <c r="AG131" s="7" t="s">
        <v>237</v>
      </c>
      <c r="AH131" s="12">
        <f>IF(AC131=0,"",IF(AND(AI125="",AI126="",AI127="",AI128="",AI129="",AI130=""),$J$36,IF(AND(AJ125="",AJ126="",AJ127="",AJ128="",AJ129="",AJ130=""),AH130-AI130,"")))</f>
      </c>
      <c r="AI131" s="12">
        <f t="shared" si="45"/>
      </c>
      <c r="AJ131" s="65">
        <f t="shared" si="46"/>
      </c>
      <c r="AK131" s="7" t="s">
        <v>237</v>
      </c>
      <c r="AL131" s="12">
        <f>IF(AC131=0,"",IF(AND(AM125="",AM126="",AM127="",AM128="",AM129="",AM130=""),$J$37,IF(AND(AN125="",AN126="",AN127="",AN128="",AN129="",AN130=""),AL130-AM130,"")))</f>
      </c>
      <c r="AM131" s="12">
        <f t="shared" si="47"/>
      </c>
      <c r="AN131" s="65">
        <f t="shared" si="48"/>
      </c>
      <c r="AO131" s="7" t="s">
        <v>237</v>
      </c>
      <c r="AU131" s="1" t="s">
        <v>263</v>
      </c>
    </row>
    <row r="132" spans="24:47" ht="12.75" hidden="1">
      <c r="X132" s="7"/>
      <c r="Y132" s="7">
        <v>8</v>
      </c>
      <c r="Z132" s="12">
        <f t="shared" si="44"/>
      </c>
      <c r="AA132" s="65">
        <f>IF(Z132&lt;0.5,0,IF(Z132="",0,IF(AB121=0,$J$15,AB121)))</f>
        <v>0</v>
      </c>
      <c r="AB132" s="65">
        <f>IF(Z132="",0,IF(Z132&lt;0.5,0,IF(Z132&lt;=AF121,AA132+Z132*V69,$L$15)))</f>
        <v>0</v>
      </c>
      <c r="AC132" s="12">
        <f>ABS(AB132-AA132)</f>
        <v>0</v>
      </c>
      <c r="AD132">
        <f>IF($N$15=0,"",IF(Z132="","",IF(ROUND(AC132-$N$15,0)=0,"LOT 5",IF(Z132&lt;0.5,"",IF(AB132-AA132&lt;$N$15,"PARTIAL","NOT")))))</f>
      </c>
      <c r="AF132" s="12">
        <f>IF(Z132="",0,$N$15-AC132-AC121-AC110-AC99-AC88)</f>
        <v>0</v>
      </c>
      <c r="AG132" s="7" t="s">
        <v>238</v>
      </c>
      <c r="AH132" s="12">
        <f>IF(AC132=0,"",IF(AND(AI125="",AI126="",AI127="",AI128="",AI129="",AI130="",AI131=""),$J$36,IF(AND(AJ125="",AJ126="",AJ127="",AJ128="",AJ129="",AJ130="",AJ131=""),AH131-AI131,"")))</f>
      </c>
      <c r="AI132" s="12">
        <f t="shared" si="45"/>
      </c>
      <c r="AJ132" s="65">
        <f t="shared" si="46"/>
      </c>
      <c r="AK132" s="7" t="s">
        <v>238</v>
      </c>
      <c r="AL132" s="12">
        <f>IF(AC132=0,"",IF(AND(AM125="",AM126="",AM127="",AM128="",AM129="",AM130="",AM131=""),$J$37,IF(AND(AN125="",AN126="",AN127="",AN128="",AN129="",AN130="",AN131=""),AL131-AM131,"")))</f>
      </c>
      <c r="AM132" s="12">
        <f t="shared" si="47"/>
      </c>
      <c r="AN132" s="65">
        <f t="shared" si="48"/>
      </c>
      <c r="AO132" s="7" t="s">
        <v>238</v>
      </c>
      <c r="AU132" s="1" t="s">
        <v>264</v>
      </c>
    </row>
    <row r="133" spans="24:47" ht="12.75" hidden="1">
      <c r="X133" s="7"/>
      <c r="Y133" s="7">
        <v>9</v>
      </c>
      <c r="Z133" s="12">
        <f>IF(ROUND(AF122,0)=0,"",IF(Z132="",$L$19,ABS(Z132-AC132)))</f>
      </c>
      <c r="AA133" s="65">
        <f>IF(Z133&lt;0.5,0,IF(Z133="",0,IF(AB122=0,$J$16,AB122)))</f>
        <v>0</v>
      </c>
      <c r="AB133" s="65">
        <f>IF(Z133="",0,IF(Z133&lt;0.5,0,IF(Z133&lt;=AF122,AA133+Z133*V70,$L$16)))</f>
        <v>0</v>
      </c>
      <c r="AC133" s="12">
        <f>ABS(AB133-AA133)</f>
        <v>0</v>
      </c>
      <c r="AD133">
        <f>IF($N$16=0,"",IF(Z133="","",IF(ROUND(AC133-$N$16,0)=0,"LOT 5",IF(Z133&lt;0.5,"",IF(AB133-AA133&lt;$N$16,"PARTIAL","NOT")))))</f>
      </c>
      <c r="AF133" s="12">
        <f>IF(Z133="",0,$N$16-AC133-AC122-AC111-AC100-AC89)</f>
        <v>0</v>
      </c>
      <c r="AG133" s="7" t="s">
        <v>276</v>
      </c>
      <c r="AH133" s="12">
        <f>IF(AC133=0,"",IF(AND(AI125="",AI126="",AI127="",AI128="",AI129="",AI130="",AI131="",AI132=""),$J$36,IF(AND(AJ125="",AJ126="",AJ127="",AJ128="",AJ129="",AJ130="",AJ131="",AJ132=""),AH132-AI132,"")))</f>
      </c>
      <c r="AI133" s="12">
        <f>IF(AH133="","",IF(AC133&gt;=AH133,AH133,AC133))</f>
      </c>
      <c r="AJ133" s="65">
        <f t="shared" si="46"/>
      </c>
      <c r="AK133" s="7" t="s">
        <v>276</v>
      </c>
      <c r="AL133" s="12">
        <f>IF(AC133=0,"",IF(AND(AM125="",AM126="",AM127="",AM128="",AM129="",AM130="",AM131="",AM132=""),$J$37,IF(AND(AN125="",AN126="",AN127="",AN128="",AN129="",AN130="",AN131="",AN132=""),AL132-AM132,"")))</f>
      </c>
      <c r="AM133" s="12">
        <f>IF(AL133="","",IF(AC133&gt;=AL133,AL133,AC133))</f>
      </c>
      <c r="AN133" s="65">
        <f t="shared" si="48"/>
      </c>
      <c r="AO133" s="7" t="s">
        <v>276</v>
      </c>
      <c r="AU133" s="1"/>
    </row>
    <row r="134" spans="24:47" ht="12.75" hidden="1">
      <c r="X134" s="7"/>
      <c r="Y134" s="7">
        <v>10</v>
      </c>
      <c r="Z134" s="12">
        <f>IF(ROUND(AF123,0)=0,"",IF(Z133="",$L$19,ABS(Z133-AC133)))</f>
      </c>
      <c r="AA134" s="65">
        <f>IF(Z134&lt;0.5,0,IF(Z134="",0,IF(AB123=0,$J$17,AB123)))</f>
        <v>0</v>
      </c>
      <c r="AB134" s="65">
        <f>IF(Z134="",0,IF(Z134&lt;0.5,0,IF(Z134&lt;=AF123,AA134+Z134*V71,$L$17)))</f>
        <v>0</v>
      </c>
      <c r="AC134" s="12">
        <f>ABS(AB134-AA134)</f>
        <v>0</v>
      </c>
      <c r="AD134">
        <f>IF($N$17=0,"",IF(Z134="","",IF(ROUND(AC134-$N$17,0)=0,"LOT 5",IF(Z134&lt;0.5,"",IF(AB134-AA134&lt;$N$17,"PARTIAL","NOT")))))</f>
      </c>
      <c r="AF134" s="12">
        <f>IF(Z134="",0,$N$17-AC134-AC123-AC112-AC101-AC90)</f>
        <v>0</v>
      </c>
      <c r="AG134" s="7" t="s">
        <v>296</v>
      </c>
      <c r="AH134" s="12">
        <f>IF(AC134=0,"",IF(AND(AI125="",AI126="",AI127="",AI128="",AI129="",AI130="",AI131="",AI132="",AI133=""),$J$36,IF(AND(AJ125="",AJ126="",AJ127="",AJ128="",AJ129="",AJ130="",AJ131="",AJ132="",AJ133=""),AH133-AI133,"")))</f>
      </c>
      <c r="AI134" s="12">
        <f>IF(AH134="","",IF(AC134&gt;=AH134,AH134,AC134))</f>
      </c>
      <c r="AJ134" s="65">
        <f t="shared" si="46"/>
      </c>
      <c r="AK134" s="7" t="s">
        <v>296</v>
      </c>
      <c r="AL134" s="12">
        <f>IF(AC134=0,"",IF(AND(AM125="",AM126="",AM127="",AM128="",AM129="",AM130="",AM131="",AM132="",AM133=""),$J$37,IF(AND(AN125="",AN126="",AN127="",AN128="",AN129="",AN130="",AN131="",AN132="",AN133=""),AL133-AM133,"")))</f>
      </c>
      <c r="AM134" s="12">
        <f>IF(AL134="","",IF(AC134&gt;=AL134,AL134,AC134))</f>
      </c>
      <c r="AN134" s="65">
        <f t="shared" si="48"/>
      </c>
      <c r="AO134" s="7" t="s">
        <v>296</v>
      </c>
      <c r="AU134" s="1"/>
    </row>
    <row r="135" spans="24:47" ht="12.75" hidden="1">
      <c r="X135" s="7"/>
      <c r="Y135" s="7"/>
      <c r="AH135" s="12"/>
      <c r="AI135" s="12"/>
      <c r="AU135" s="1" t="s">
        <v>265</v>
      </c>
    </row>
    <row r="136" spans="24:47" ht="12.75" hidden="1">
      <c r="X136" s="7">
        <v>6</v>
      </c>
      <c r="Y136" s="7">
        <v>1</v>
      </c>
      <c r="Z136" s="12">
        <f>IF($L$18&lt;6,"",(IF(ROUND(AF125,0)=0,"",$L$19)))</f>
      </c>
      <c r="AA136" s="65">
        <f>IF(Z136&lt;0.5,0,IF(Z136="",0,IF(AB125=0,$J$8,AB125)))</f>
        <v>0</v>
      </c>
      <c r="AB136" s="65">
        <f>IF(Z136="",0,IF(Z136&lt;0.5,0,IF(Z136&lt;=AF125,AA136+Z136*V62,$L$8)))</f>
        <v>0</v>
      </c>
      <c r="AC136" s="12">
        <f aca="true" t="shared" si="49" ref="AC136:AC141">ABS(AB136-AA136)</f>
        <v>0</v>
      </c>
      <c r="AD136">
        <f>IF($N$8=0,"",IF(Z136="","",IF(ROUND(AC136-$N$8,0)=0,"LOT 6",IF(Z136&lt;0.5,"",IF(AB136-AA136&lt;$N$8,"PARTIAL","NOT")))))</f>
      </c>
      <c r="AF136" s="12">
        <f>IF(Z136="",0,$N$8-AC136-AC125-AC114-AC103-AC92-AC81)</f>
        <v>0</v>
      </c>
      <c r="AG136" s="7" t="s">
        <v>46</v>
      </c>
      <c r="AH136" s="12">
        <f>IF(AC136=0,"",$J$39)</f>
      </c>
      <c r="AI136" s="12">
        <f>IF(AC136=0,"",IF(AC136&gt;=AH136,AH136,AC136))</f>
      </c>
      <c r="AJ136" s="65">
        <f>IF(AH136="","",IF(AI136=AC136,"",AA136+AI136*V62))</f>
      </c>
      <c r="AK136" s="7" t="s">
        <v>46</v>
      </c>
      <c r="AL136" s="12">
        <f>IF(AC136=0,"",$J$40)</f>
      </c>
      <c r="AM136" s="12">
        <f>IF(AC136=0,"",IF(AC136&gt;=AL136,AL136,AC136))</f>
      </c>
      <c r="AN136" s="65">
        <f>IF(AL136="","",IF(AM136=AC136,"",AA136+AM136*V62))</f>
      </c>
      <c r="AO136" s="7" t="s">
        <v>46</v>
      </c>
      <c r="AU136" s="1" t="s">
        <v>216</v>
      </c>
    </row>
    <row r="137" spans="24:47" ht="12.75" hidden="1">
      <c r="X137" s="7"/>
      <c r="Y137" s="7">
        <v>2</v>
      </c>
      <c r="Z137" s="12">
        <f aca="true" t="shared" si="50" ref="Z137:Z143">IF(ROUND(AF126,0)=0,"",IF(Z136="",$L$19,ABS(Z136-AC136)))</f>
      </c>
      <c r="AA137" s="65">
        <f>IF(Z137&lt;0.5,0,IF(Z137="",0,IF(AB126=0,$J$9,AB126)))</f>
        <v>0</v>
      </c>
      <c r="AB137" s="65">
        <f>IF(Z137="",0,IF(Z137&lt;0.5,0,IF(Z137&lt;=AF126,AA137+Z137*V63,$L$9)))</f>
        <v>0</v>
      </c>
      <c r="AC137" s="12">
        <f t="shared" si="49"/>
        <v>0</v>
      </c>
      <c r="AD137">
        <f>IF($N$9=0,"",IF(Z137="","",IF(ROUND(AC137-$N$9,0)=0,"LOT 6",IF(Z137&lt;0.5,"",IF(AB137-AA137&lt;$N$9,"PARTIAL","NOT")))))</f>
      </c>
      <c r="AF137" s="12">
        <f>IF(Z137="",0,$N$9-AC137-AC126-AC115-AC104-AC93-AC82)</f>
        <v>0</v>
      </c>
      <c r="AG137" s="7" t="s">
        <v>49</v>
      </c>
      <c r="AH137" s="12">
        <f>IF(AC137=0,"",IF(AI136="",$J$39,IF(AJ136="",AH136-AI136,"")))</f>
      </c>
      <c r="AI137" s="12">
        <f aca="true" t="shared" si="51" ref="AI137:AI143">IF(AH137="","",IF(AC137&gt;=AH137,AH137,AC137))</f>
      </c>
      <c r="AJ137" s="65">
        <f aca="true" t="shared" si="52" ref="AJ137:AJ145">IF(AH137="","",IF(ROUND(AI137-AH137,0)=0,AA137+AI137*V63,IF(AI137=AC137,"",AA137+AI137*V63)))</f>
      </c>
      <c r="AK137" s="7" t="s">
        <v>49</v>
      </c>
      <c r="AL137" s="12">
        <f>IF(AC137=0,"",IF(AM136="",$J$40,IF(AN136="",AL136-AM136,"")))</f>
      </c>
      <c r="AM137" s="12">
        <f aca="true" t="shared" si="53" ref="AM137:AM143">IF(AL137="","",IF(AC137&gt;=AL137,AL137,AC137))</f>
      </c>
      <c r="AN137" s="65">
        <f aca="true" t="shared" si="54" ref="AN137:AN145">IF(AL137="","",IF(ROUND(AM137-AL137,0)=0,AA137+AM137*V63,IF(AM137=AC137,"",AA137+AM137*V63)))</f>
      </c>
      <c r="AO137" s="7" t="s">
        <v>49</v>
      </c>
      <c r="AU137" s="1" t="s">
        <v>217</v>
      </c>
    </row>
    <row r="138" spans="24:47" ht="12.75" hidden="1">
      <c r="X138" s="7"/>
      <c r="Y138" s="7">
        <v>3</v>
      </c>
      <c r="Z138" s="12">
        <f t="shared" si="50"/>
      </c>
      <c r="AA138" s="65">
        <f>IF(Z138&lt;0.5,0,IF(Z138="",0,IF(AB127=0,$J$10,AB127)))</f>
        <v>0</v>
      </c>
      <c r="AB138" s="65">
        <f>IF(Z138="",0,IF(Z138&lt;0.5,0,IF(Z138&lt;=AF127,AA138+Z138*V64,$L$10)))</f>
        <v>0</v>
      </c>
      <c r="AC138" s="12">
        <f t="shared" si="49"/>
        <v>0</v>
      </c>
      <c r="AD138">
        <f>IF($N$10=0,"",IF(Z138="","",IF(ROUND(AC138-$N$10,0)=0,"LOT 6",IF(Z138&lt;0.5,"",IF(AC138&lt;$N$10,"PARTIAL","NOT")))))</f>
      </c>
      <c r="AF138" s="12">
        <f>IF(Z138="",0,$N$10-AC138-AC127-AC116-AC105-AC94-AC83)</f>
        <v>0</v>
      </c>
      <c r="AG138" s="7" t="s">
        <v>54</v>
      </c>
      <c r="AH138" s="12">
        <f>IF(AC138=0,"",IF(AND(AI136="",AI137=""),$J$39,IF(AND(AJ136="",AJ137=""),AH137-AI137,"")))</f>
      </c>
      <c r="AI138" s="12">
        <f t="shared" si="51"/>
      </c>
      <c r="AJ138" s="65">
        <f t="shared" si="52"/>
      </c>
      <c r="AK138" s="7" t="s">
        <v>54</v>
      </c>
      <c r="AL138" s="12">
        <f>IF(AC138=0,"",IF(AND(AM136="",AM137=""),$J$40,IF(AND(AN136="",AN137=""),AL137-AM137,"")))</f>
      </c>
      <c r="AM138" s="12">
        <f t="shared" si="53"/>
      </c>
      <c r="AN138" s="65">
        <f t="shared" si="54"/>
      </c>
      <c r="AO138" s="7" t="s">
        <v>54</v>
      </c>
      <c r="AU138" s="1" t="s">
        <v>218</v>
      </c>
    </row>
    <row r="139" spans="24:47" ht="12.75" hidden="1">
      <c r="X139" s="7"/>
      <c r="Y139" s="7">
        <v>4</v>
      </c>
      <c r="Z139" s="12">
        <f t="shared" si="50"/>
      </c>
      <c r="AA139" s="65">
        <f>IF(Z139&lt;0.5,0,IF(Z139="",0,IF(AB128=0,$J$11,AB128)))</f>
        <v>0</v>
      </c>
      <c r="AB139" s="65">
        <f>IF(Z139="",0,IF(Z139&lt;0.5,0,IF(Z139&lt;=AF128,AA139+Z139*V65,$L$11)))</f>
        <v>0</v>
      </c>
      <c r="AC139" s="12">
        <f t="shared" si="49"/>
        <v>0</v>
      </c>
      <c r="AD139">
        <f>IF($N$11=0,"",IF(Z139="","",IF(ROUND(AC139-$N$11,0)=0,"LOT 6",IF(Z139&lt;0.5,"",IF(AB139-AA139&lt;$N$11,"PARTIAL","NOT")))))</f>
      </c>
      <c r="AF139" s="12">
        <f>IF(Z139="",0,$N$11-AC139-AC128-AC117-AC106-AC95-AC84)</f>
        <v>0</v>
      </c>
      <c r="AG139" s="7" t="s">
        <v>56</v>
      </c>
      <c r="AH139" s="12">
        <f>IF(AC139=0,"",IF(AND(AI136="",AI137="",AI138=""),$J$39,IF(AND(AJ136="",AJ137="",AJ138=""),AH138-AI138,"")))</f>
      </c>
      <c r="AI139" s="12">
        <f t="shared" si="51"/>
      </c>
      <c r="AJ139" s="65">
        <f t="shared" si="52"/>
      </c>
      <c r="AK139" s="7" t="s">
        <v>56</v>
      </c>
      <c r="AL139" s="12">
        <f>IF(AC139=0,"",IF(AND(AM136="",AM137="",AM138=""),$J$40,IF(AND(AN136="",AN137="",AN138=""),AL138-AM138,"")))</f>
      </c>
      <c r="AM139" s="12">
        <f t="shared" si="53"/>
      </c>
      <c r="AN139" s="65">
        <f t="shared" si="54"/>
      </c>
      <c r="AO139" s="7" t="s">
        <v>56</v>
      </c>
      <c r="AU139" s="1" t="s">
        <v>219</v>
      </c>
    </row>
    <row r="140" spans="24:47" ht="12.75" hidden="1">
      <c r="X140" s="7"/>
      <c r="Y140" s="7">
        <v>5</v>
      </c>
      <c r="Z140" s="12">
        <f t="shared" si="50"/>
      </c>
      <c r="AA140" s="65">
        <f>IF(Z140&lt;0.5,0,IF(Z140="",0,IF(AB129=0,$J$12,AB129)))</f>
        <v>0</v>
      </c>
      <c r="AB140" s="65">
        <f>IF(Z140="",0,IF(Z140&lt;0.5,0,IF(Z140&lt;=AF129,AA140+Z140*V66,$L$12)))</f>
        <v>0</v>
      </c>
      <c r="AC140" s="12">
        <f t="shared" si="49"/>
        <v>0</v>
      </c>
      <c r="AD140">
        <f>IF($N$12=0,"",IF(Z140="","",IF(ROUND(AC140-$N$12,0)=0,"LOT 6",IF(Z140&lt;0.5,"",IF(AB140-AA140&lt;$N$12,"PARTIAL","NOT")))))</f>
      </c>
      <c r="AF140" s="12">
        <f>IF(Z140="",0,$N$12-AC140-AC129-AC118-AC107-AC96-AC85)</f>
        <v>0</v>
      </c>
      <c r="AG140" s="7" t="s">
        <v>58</v>
      </c>
      <c r="AH140" s="12">
        <f>IF(AC140=0,"",IF(AND(AI136="",AI137="",AI138="",AI139=""),$J$39,IF(AND(AJ136="",AJ137="",AJ138="",AJ139=""),AH139-AI139,"")))</f>
      </c>
      <c r="AI140" s="12">
        <f t="shared" si="51"/>
      </c>
      <c r="AJ140" s="65">
        <f t="shared" si="52"/>
      </c>
      <c r="AK140" s="7" t="s">
        <v>58</v>
      </c>
      <c r="AL140" s="12">
        <f>IF(AC140=0,"",IF(AND(AM136="",AM137="",AM138="",AM139=""),$J$40,IF(AND(AN136="",AN137="",AN138="",AN139=""),AL139-AM139,"")))</f>
      </c>
      <c r="AM140" s="12">
        <f t="shared" si="53"/>
      </c>
      <c r="AN140" s="65">
        <f t="shared" si="54"/>
      </c>
      <c r="AO140" s="7" t="s">
        <v>58</v>
      </c>
      <c r="AU140" s="1" t="s">
        <v>220</v>
      </c>
    </row>
    <row r="141" spans="24:47" ht="12.75" hidden="1">
      <c r="X141" s="7"/>
      <c r="Y141" s="7">
        <v>6</v>
      </c>
      <c r="Z141" s="12">
        <f t="shared" si="50"/>
      </c>
      <c r="AA141" s="65">
        <f>IF(Z141&lt;0.5,0,IF(Z141="",0,IF(AB130=0,$J$13,AB130)))</f>
        <v>0</v>
      </c>
      <c r="AB141" s="65">
        <f>IF(Z141="",0,IF(Z141&lt;0.5,0,IF(Z141&lt;=AF130,AA141+Z141*V67,$L$13)))</f>
        <v>0</v>
      </c>
      <c r="AC141" s="12">
        <f t="shared" si="49"/>
        <v>0</v>
      </c>
      <c r="AD141">
        <f>IF($N$13=0,"",IF(Z141="","",IF(ROUND(AC141-$N$13,0)=0,"LOT 6",IF(Z141&lt;0.5,"",IF(AB141-AA141&lt;$N$13,"PARTIAL","NOT")))))</f>
      </c>
      <c r="AF141" s="12">
        <f>IF(Z141="",0,$N$13-AC141-AC130-AC119-AC108-AC97-AC86)</f>
        <v>0</v>
      </c>
      <c r="AG141" s="7" t="s">
        <v>61</v>
      </c>
      <c r="AH141" s="12">
        <f>IF(AC141=0,"",IF(AND(AI136="",AI137="",AI138="",AI139="",AI140=""),$J$39,IF(AND(AJ136="",AJ137="",AJ138="",AJ139="",AJ140=""),AH140-AI140,"")))</f>
      </c>
      <c r="AI141" s="12">
        <f t="shared" si="51"/>
      </c>
      <c r="AJ141" s="65">
        <f t="shared" si="52"/>
      </c>
      <c r="AK141" s="7" t="s">
        <v>61</v>
      </c>
      <c r="AL141" s="12">
        <f>IF(AC141=0,"",IF(AND(AM136="",AM137="",AM138="",AM139="",AM140=""),$J$40,IF(AND(AN136="",AN137="",AN138="",AN139="",AN140=""),AL140-AM140,"")))</f>
      </c>
      <c r="AM141" s="12">
        <f t="shared" si="53"/>
      </c>
      <c r="AN141" s="65">
        <f t="shared" si="54"/>
      </c>
      <c r="AO141" s="7" t="s">
        <v>61</v>
      </c>
      <c r="AU141" s="1" t="s">
        <v>221</v>
      </c>
    </row>
    <row r="142" spans="24:47" ht="12.75" hidden="1">
      <c r="X142" s="7"/>
      <c r="Y142" s="7">
        <v>7</v>
      </c>
      <c r="Z142" s="12">
        <f t="shared" si="50"/>
      </c>
      <c r="AA142" s="65">
        <f>IF(Z142&lt;0.5,0,IF(Z142="",0,IF(AB131=0,$J$14,AB131)))</f>
        <v>0</v>
      </c>
      <c r="AB142" s="65">
        <f>IF(Z142="",0,IF(Z142&lt;0.5,0,IF(Z142&lt;=AF131,AA142+Z142*V68,$L$14)))</f>
        <v>0</v>
      </c>
      <c r="AC142" s="12">
        <f>ABS(AB142-AA142)</f>
        <v>0</v>
      </c>
      <c r="AD142">
        <f>IF($N$14=0,"",IF(Z142="","",IF(ROUND(AC142-$N$14,0)=0,"LOT 6",IF(Z142&lt;0.5,"",IF(AB142-AA142&lt;$N$14,"PARTIAL","NOT")))))</f>
      </c>
      <c r="AF142" s="12">
        <f>IF(Z142="",0,$N$14-AC142-AC131-AC120-AC109-AC98-AC87)</f>
        <v>0</v>
      </c>
      <c r="AG142" s="7" t="s">
        <v>237</v>
      </c>
      <c r="AH142" s="12">
        <f>IF(AC142=0,"",IF(AND(AI136="",AI137="",AI138="",AI139="",AI140="",AI141=""),$J$39,IF(AND(AJ136="",AJ137="",AJ138="",AJ139="",AJ140="",AJ141=""),AH141-AI141,"")))</f>
      </c>
      <c r="AI142" s="12">
        <f t="shared" si="51"/>
      </c>
      <c r="AJ142" s="65">
        <f t="shared" si="52"/>
      </c>
      <c r="AK142" s="7" t="s">
        <v>237</v>
      </c>
      <c r="AL142" s="12">
        <f>IF(AC142=0,"",IF(AND(AM136="",AM137="",AM138="",AM139="",AM140="",AM141=""),$J$40,IF(AND(AN136="",AN137="",AN138="",AN139="",AN140="",AN141=""),AL141-AM141,"")))</f>
      </c>
      <c r="AM142" s="12">
        <f t="shared" si="53"/>
      </c>
      <c r="AN142" s="65">
        <f t="shared" si="54"/>
      </c>
      <c r="AO142" s="7" t="s">
        <v>237</v>
      </c>
      <c r="AU142" s="1" t="s">
        <v>222</v>
      </c>
    </row>
    <row r="143" spans="24:47" ht="12.75" hidden="1">
      <c r="X143" s="7"/>
      <c r="Y143" s="7">
        <v>8</v>
      </c>
      <c r="Z143" s="12">
        <f t="shared" si="50"/>
      </c>
      <c r="AA143" s="65">
        <f>IF(Z143&lt;0.5,0,IF(Z143="",0,IF(AB132=0,$J$15,AB132)))</f>
        <v>0</v>
      </c>
      <c r="AB143" s="65">
        <f>IF(Z143="",0,IF(Z143&lt;0.5,0,IF(Z143&lt;=AF132,AA143+Z143*V69,$L$15)))</f>
        <v>0</v>
      </c>
      <c r="AC143" s="12">
        <f>ABS(AB143-AA143)</f>
        <v>0</v>
      </c>
      <c r="AD143">
        <f>IF($N$15=0,"",IF(Z143="","",IF(ROUND(AC143-$N$15,0)=0,"LOT 6",IF(Z143&lt;0.5,"",IF(AB143-AA143&lt;$N$15,"PARTIAL","NOT")))))</f>
      </c>
      <c r="AF143" s="12">
        <f>IF(Z143="",0,$N$15-AC143-AC132-AC121-AC110-AC99-AC88)</f>
        <v>0</v>
      </c>
      <c r="AG143" s="7" t="s">
        <v>238</v>
      </c>
      <c r="AH143" s="12">
        <f>IF(AC143=0,"",IF(AND(AI136="",AI137="",AI138="",AI139="",AI140="",AI141="",AI142=""),$J$39,IF(AND(AJ136="",AJ137="",AJ138="",AJ139="",AJ140="",AJ141="",AJ142=""),AH142-AI142,"")))</f>
      </c>
      <c r="AI143" s="12">
        <f t="shared" si="51"/>
      </c>
      <c r="AJ143" s="65">
        <f t="shared" si="52"/>
      </c>
      <c r="AK143" s="7" t="s">
        <v>238</v>
      </c>
      <c r="AL143" s="12">
        <f>IF(AC143=0,"",IF(AND(AM136="",AM137="",AM138="",AM139="",AM140="",AM141="",AM142=""),$J$40,IF(AND(AN136="",AN137="",AN138="",AN139="",AN140="",AN141="",AN142=""),AL142-AM142,"")))</f>
      </c>
      <c r="AM143" s="12">
        <f t="shared" si="53"/>
      </c>
      <c r="AN143" s="65">
        <f t="shared" si="54"/>
      </c>
      <c r="AO143" s="7" t="s">
        <v>238</v>
      </c>
      <c r="AU143" s="174" t="s">
        <v>190</v>
      </c>
    </row>
    <row r="144" spans="24:47" ht="12.75" hidden="1">
      <c r="X144" s="7"/>
      <c r="Y144" s="7">
        <v>9</v>
      </c>
      <c r="Z144" s="12">
        <f>IF(ROUND(AF133,0)=0,"",IF(Z143="",$L$19,ABS(Z143-AC143)))</f>
      </c>
      <c r="AA144" s="65">
        <f>IF(Z144&lt;0.5,0,IF(Z144="",0,IF(AB133=0,$J$16,AB133)))</f>
        <v>0</v>
      </c>
      <c r="AB144" s="65">
        <f>IF(Z144="",0,IF(Z144&lt;0.5,0,IF(Z144&lt;=AF133,AA144+Z144*V70,$L$16)))</f>
        <v>0</v>
      </c>
      <c r="AC144" s="12">
        <f>ABS(AB144-AA144)</f>
        <v>0</v>
      </c>
      <c r="AD144">
        <f>IF($N$16=0,"",IF(Z144="","",IF(ROUND(AC144-$N$16,0)=0,"LOT 6",IF(Z144&lt;0.5,"",IF(AB144-AA144&lt;$N$16,"PARTIAL","NOT")))))</f>
      </c>
      <c r="AF144" s="12">
        <f>IF(Z144="",0,$N$16-AC144-AC133-AC122-AC111-AC100-AC89)</f>
        <v>0</v>
      </c>
      <c r="AG144" s="7" t="s">
        <v>276</v>
      </c>
      <c r="AH144" s="12">
        <f>IF(AC144=0,"",IF(AND(AI136="",AI137="",AI138="",AI139="",AI140="",AI141="",AI142="",AI143=""),$J$39,IF(AND(AJ136="",AJ137="",AJ138="",AJ139="",AJ140="",AJ141="",AJ142="",AJ143=""),AH143-AI143,"")))</f>
      </c>
      <c r="AI144" s="12">
        <f>IF(AH144="","",IF(AC144&gt;=AH144,AH144,AC144))</f>
      </c>
      <c r="AJ144" s="65">
        <f t="shared" si="52"/>
      </c>
      <c r="AK144" s="7" t="s">
        <v>276</v>
      </c>
      <c r="AL144" s="12">
        <f>IF(AC144=0,"",IF(AND(AM136="",AM137="",AM138="",AM139="",AM140="",AM141="",AM142="",AM143=""),$J$40,IF(AND(AN136="",AN137="",AN138="",AN139="",AN140="",AN141="",AN142="",AN143=""),AL143-AM143,"")))</f>
      </c>
      <c r="AM144" s="12">
        <f>IF(AL144="","",IF(AC144&gt;=AL144,AL144,AC144))</f>
      </c>
      <c r="AN144" s="65">
        <f t="shared" si="54"/>
      </c>
      <c r="AO144" s="7" t="s">
        <v>276</v>
      </c>
      <c r="AU144" s="174"/>
    </row>
    <row r="145" spans="24:47" ht="12.75" hidden="1">
      <c r="X145" s="7"/>
      <c r="Y145" s="7">
        <v>10</v>
      </c>
      <c r="Z145" s="12">
        <f>IF(ROUND(AF134,0)=0,"",IF(Z144="",$L$19,ABS(Z144-AC144)))</f>
      </c>
      <c r="AA145" s="65">
        <f>IF(Z145&lt;0.5,0,IF(Z145="",0,IF(AB134=0,$J$17,AB134)))</f>
        <v>0</v>
      </c>
      <c r="AB145" s="65">
        <f>IF(Z145="",0,IF(Z145&lt;0.5,0,IF(Z145&lt;=AF134,AA145+Z145*V71,$L$17)))</f>
        <v>0</v>
      </c>
      <c r="AC145" s="12">
        <f>ABS(AB145-AA145)</f>
        <v>0</v>
      </c>
      <c r="AD145">
        <f>IF($N$17=0,"",IF(Z145="","",IF(ROUND(AC145-$N$17,0)=0,"LOT 6",IF(Z145&lt;0.5,"",IF(AB145-AA145&lt;$N$17,"PARTIAL","NOT")))))</f>
      </c>
      <c r="AF145" s="12">
        <f>IF(Z145="",0,$N$17-AC145-AC134-AC123-AC112-AC101-AC90)</f>
        <v>0</v>
      </c>
      <c r="AG145" s="7" t="s">
        <v>296</v>
      </c>
      <c r="AH145" s="12">
        <f>IF(AC145=0,"",IF(AND(AI136="",AI137="",AI138="",AI139="",AI140="",AI141="",AI142="",AI143="",AI144=""),$J$39,IF(AND(AJ136="",AJ137="",AJ138="",AJ139="",AJ140="",AJ141="",AJ142="",AJ143="",AJ144=""),AH144-AI144,"")))</f>
      </c>
      <c r="AI145" s="12">
        <f>IF(AH145="","",IF(AC145&gt;=AH145,AH145,AC145))</f>
      </c>
      <c r="AJ145" s="65">
        <f t="shared" si="52"/>
      </c>
      <c r="AK145" s="7" t="s">
        <v>296</v>
      </c>
      <c r="AL145" s="12">
        <f>IF(AC145=0,"",IF(AND(AM136="",AM137="",AM138="",AM139="",AM140="",AM141="",AM142="",AM143="",AM144=""),$J$40,IF(AND(AN136="",AN137="",AN138="",AN139="",AN140="",AN141="",AN142="",AN143="",AN144=""),AL144-AM144,"")))</f>
      </c>
      <c r="AM145" s="12">
        <f>IF(AL145="","",IF(AC145&gt;=AL145,AL145,AC145))</f>
      </c>
      <c r="AN145" s="65">
        <f t="shared" si="54"/>
      </c>
      <c r="AO145" s="7" t="s">
        <v>296</v>
      </c>
      <c r="AU145" s="174"/>
    </row>
    <row r="146" spans="24:47" ht="12.75" hidden="1">
      <c r="X146" s="7"/>
      <c r="Y146" s="7"/>
      <c r="AU146" s="1" t="s">
        <v>191</v>
      </c>
    </row>
    <row r="147" spans="24:47" ht="12.75" hidden="1">
      <c r="X147" s="7">
        <v>7</v>
      </c>
      <c r="Y147" s="7">
        <v>1</v>
      </c>
      <c r="Z147" s="12">
        <f>IF($L$18&lt;7,"",(IF(AF136=0,"",$L$19)))</f>
      </c>
      <c r="AA147" s="65">
        <f>IF(Z147&lt;0.5,0,IF(Z147="",0,IF(AB136=0,$J$8,AB136)))</f>
        <v>0</v>
      </c>
      <c r="AB147" s="65">
        <f>IF(Z147="",0,IF(Z147&lt;0.5,0,IF(Z147&lt;=AF136,AA147+Z147*V62,$L$8)))</f>
        <v>0</v>
      </c>
      <c r="AC147" s="12">
        <f aca="true" t="shared" si="55" ref="AC147:AC152">ABS(AB147-AA147)</f>
        <v>0</v>
      </c>
      <c r="AD147">
        <f>IF($N$8=0,"",IF(Z147="","",IF(ROUND(AC147-$N$8,0)=0,"LOT 7",IF(Z147&lt;0.5,"",IF(AB147-AA147&lt;$N$8,"PARTIAL","NOT")))))</f>
      </c>
      <c r="AF147" s="12">
        <f>IF(Z147="",0,$N$8-AC147-AC136-AC125-AC114-AC103-AC92-AC81)</f>
        <v>0</v>
      </c>
      <c r="AG147" s="7" t="s">
        <v>46</v>
      </c>
      <c r="AH147" s="12">
        <f>IF(AC147=0,"",$J$42)</f>
      </c>
      <c r="AI147" s="12">
        <f>IF(AC147=0,"",IF(AC147&gt;=AH147,AH147,AC147))</f>
      </c>
      <c r="AJ147" s="65">
        <f>IF(AH147="","",IF(AI147=AC147,"",AA147+AI147*V62))</f>
      </c>
      <c r="AK147" s="7" t="s">
        <v>46</v>
      </c>
      <c r="AL147" s="12">
        <f>IF(AC147=0,"",$J$43)</f>
      </c>
      <c r="AM147" s="12">
        <f>IF(AC147=0,"",IF(AC147&gt;=AL147,AL147,AC147))</f>
      </c>
      <c r="AN147" s="65">
        <f>IF(AL147="","",IF(AM147=AC147,"",AA147+AM147*V62))</f>
      </c>
      <c r="AO147" s="7" t="s">
        <v>46</v>
      </c>
      <c r="AU147" s="1" t="s">
        <v>192</v>
      </c>
    </row>
    <row r="148" spans="24:47" ht="12.75" hidden="1">
      <c r="X148" s="7"/>
      <c r="Y148" s="7">
        <v>2</v>
      </c>
      <c r="Z148" s="12">
        <f>IF(AF137=0,"",IF(Z147="",$L$19,ABS(Z147-AC147)))</f>
      </c>
      <c r="AA148" s="65">
        <f>IF(Z148&lt;0.5,0,IF(Z148="",0,IF(AB137=0,$J$9,AB137)))</f>
        <v>0</v>
      </c>
      <c r="AB148" s="65">
        <f>IF(Z148="",0,IF(Z148&lt;0.5,0,IF(Z148&lt;=AF137,AA148+Z148*V63,$L$9)))</f>
        <v>0</v>
      </c>
      <c r="AC148" s="12">
        <f t="shared" si="55"/>
        <v>0</v>
      </c>
      <c r="AD148">
        <f>IF($N$9=0,"",IF(Z148="","",IF(ROUND(AC148-$N$9,0)=0,"LOT 7",IF(Z148&lt;0.5,"",IF(AB148-AA148&lt;$N$9,"PARTIAL","NOT")))))</f>
      </c>
      <c r="AF148" s="12">
        <f>IF(Z148="",0,$N$9-AC148-AC137-AC126-AC115-AC104-AC93-AC82)</f>
        <v>0</v>
      </c>
      <c r="AG148" s="7" t="s">
        <v>49</v>
      </c>
      <c r="AH148" s="12">
        <f>IF(AC148=0,"",IF(AI147="",$J$42,IF(AJ147="",AH147-AI147,"")))</f>
      </c>
      <c r="AI148" s="12">
        <f aca="true" t="shared" si="56" ref="AI148:AI156">IF(AH148="","",IF(AC148&gt;=AH148,AH148,AC148))</f>
      </c>
      <c r="AJ148" s="65">
        <f aca="true" t="shared" si="57" ref="AJ148:AJ156">IF(AH148="","",IF(ROUND(AI148-AH148,0)=0,AA148+AI148*V63,IF(AI148=AC148,"",AA148+AI148*V63)))</f>
      </c>
      <c r="AK148" s="7" t="s">
        <v>49</v>
      </c>
      <c r="AL148" s="12">
        <f>IF(AC148=0,"",IF(AM147="",$J$43,IF(AN147="",AL147-AM147,"")))</f>
      </c>
      <c r="AM148" s="12">
        <f aca="true" t="shared" si="58" ref="AM148:AM156">IF(AL148="","",IF(AC148&gt;=AL148,AL148,AC148))</f>
      </c>
      <c r="AN148" s="65">
        <f aca="true" t="shared" si="59" ref="AN148:AN156">IF(AL148="","",IF(ROUND(AM148-AL148,0)=0,AA148+AM148*V63,IF(AM148=AC148,"",AA148+AM148*V63)))</f>
      </c>
      <c r="AO148" s="7" t="s">
        <v>49</v>
      </c>
      <c r="AU148" s="1" t="s">
        <v>193</v>
      </c>
    </row>
    <row r="149" spans="24:47" ht="12.75" hidden="1">
      <c r="X149" s="7"/>
      <c r="Y149" s="7">
        <v>3</v>
      </c>
      <c r="Z149" s="12">
        <f>IF(AF138=0,"",IF(Z148="",$L$19,ABS(Z148-AC148)))</f>
      </c>
      <c r="AA149" s="65">
        <f>IF(Z149&lt;0.5,0,IF(Z149="",0,IF(AB138=0,$J$10,AB138)))</f>
        <v>0</v>
      </c>
      <c r="AB149" s="65">
        <f>IF(Z149="",0,IF(Z149&lt;0.5,0,IF(Z149&lt;=AF138,AA149+Z149*V64,$L$10)))</f>
        <v>0</v>
      </c>
      <c r="AC149" s="12">
        <f t="shared" si="55"/>
        <v>0</v>
      </c>
      <c r="AD149">
        <f>IF($N$10=0,"",IF(Z149="","",IF(ROUND(AC149-$N$10,0)=0,"LOT 7",IF(Z149&lt;0.5,"",IF(AC149&lt;$N$10,"PARTIAL","NOT")))))</f>
      </c>
      <c r="AF149" s="12">
        <f>IF(Z149="",0,$N$10-AC149-AC138-AC127-AC116-AC105-AC94-AC83)</f>
        <v>0</v>
      </c>
      <c r="AG149" s="7" t="s">
        <v>54</v>
      </c>
      <c r="AH149" s="12">
        <f>IF(AC149=0,"",IF(AND(AI147="",AI148=""),$J$42,IF(AND(AJ147="",AJ148=""),AH148-AI148,"")))</f>
      </c>
      <c r="AI149" s="12">
        <f t="shared" si="56"/>
      </c>
      <c r="AJ149" s="65">
        <f t="shared" si="57"/>
      </c>
      <c r="AK149" s="7" t="s">
        <v>54</v>
      </c>
      <c r="AL149" s="12">
        <f>IF(AC149=0,"",IF(AND(AM147="",AM148=""),$J$43,IF(AND(AN147="",AN148=""),AL148-AM148,"")))</f>
      </c>
      <c r="AM149" s="12">
        <f t="shared" si="58"/>
      </c>
      <c r="AN149" s="65">
        <f t="shared" si="59"/>
      </c>
      <c r="AO149" s="7" t="s">
        <v>54</v>
      </c>
      <c r="AU149" s="1" t="s">
        <v>194</v>
      </c>
    </row>
    <row r="150" spans="24:47" ht="12.75" hidden="1">
      <c r="X150" s="7"/>
      <c r="Y150" s="7">
        <v>4</v>
      </c>
      <c r="Z150" s="12">
        <f>IF(AF139=0,"",IF(Z149="",$L$19,ABS(Z149-AC149)))</f>
      </c>
      <c r="AA150" s="65">
        <f>IF(Z150&lt;0.5,0,IF(Z150="",0,IF(AB139=0,$J$11,AB139)))</f>
        <v>0</v>
      </c>
      <c r="AB150" s="65">
        <f>IF(Z150="",0,IF(Z150&lt;0.5,0,IF(Z150&lt;=AF139,AA150+Z150*V65,$L$11)))</f>
        <v>0</v>
      </c>
      <c r="AC150" s="12">
        <f t="shared" si="55"/>
        <v>0</v>
      </c>
      <c r="AD150">
        <f>IF($N$11=0,"",IF(Z150="","",IF(ROUND(AC150-$N$11,0)=0,"LOT 7",IF(Z150&lt;0.5,"",IF(AB150-AA150&lt;$N$11,"PARTIAL","NOT")))))</f>
      </c>
      <c r="AF150" s="12">
        <f>IF(Z150="",0,$N$11-AC150-AC139-AC128-AC117-AC106-AC95-AC84)</f>
        <v>0</v>
      </c>
      <c r="AG150" s="7" t="s">
        <v>56</v>
      </c>
      <c r="AH150" s="12">
        <f>IF(AC150=0,"",IF(AND(AI147="",AI148="",AI149=""),$J$42,IF(AND(AJ147="",AJ148="",AJ149=""),AH149-AI149,"")))</f>
      </c>
      <c r="AI150" s="12">
        <f t="shared" si="56"/>
      </c>
      <c r="AJ150" s="65">
        <f t="shared" si="57"/>
      </c>
      <c r="AK150" s="7" t="s">
        <v>56</v>
      </c>
      <c r="AL150" s="12">
        <f>IF(AC150=0,"",IF(AND(AM147="",AM148="",AM149=""),$J$43,IF(AND(AN147="",AN148="",AN149=""),AL149-AM149,"")))</f>
      </c>
      <c r="AM150" s="12">
        <f t="shared" si="58"/>
      </c>
      <c r="AN150" s="65">
        <f t="shared" si="59"/>
      </c>
      <c r="AO150" s="7" t="s">
        <v>56</v>
      </c>
      <c r="AU150" s="1" t="s">
        <v>195</v>
      </c>
    </row>
    <row r="151" spans="24:47" ht="12.75" hidden="1">
      <c r="X151" s="7"/>
      <c r="Y151" s="7">
        <v>5</v>
      </c>
      <c r="Z151" s="12">
        <f>IF(AF140=0,"",IF(Z150="",$L$19,ABS(Z150-AC150)))</f>
      </c>
      <c r="AA151" s="65">
        <f>IF(Z151&lt;0.5,0,IF(Z151="",0,IF(AB140=0,$J$12,AB140)))</f>
        <v>0</v>
      </c>
      <c r="AB151" s="65">
        <f>IF(Z151="",0,IF(Z151&lt;0.5,0,IF(Z151&lt;=AF140,AA151+Z151*V66,$L$12)))</f>
        <v>0</v>
      </c>
      <c r="AC151" s="12">
        <f t="shared" si="55"/>
        <v>0</v>
      </c>
      <c r="AD151">
        <f>IF($N$12=0,"",IF(Z151="","",IF(ROUND(AC151-$N$12,0)=0,"LOT 7",IF(Z151&lt;0.5,"",IF(AB151-AA151&lt;$N$12,"PARTIAL","NOT")))))</f>
      </c>
      <c r="AF151" s="12">
        <f>IF(Z151="",0,$N$12-AC151-AC140-AC129-AC118-AC107-AC96-AC85)</f>
        <v>0</v>
      </c>
      <c r="AG151" s="7" t="s">
        <v>58</v>
      </c>
      <c r="AH151" s="12">
        <f>IF(AC151=0,"",IF(AND(AI147="",AI148="",AI149="",AI150=""),$J$42,IF(AND(AJ147="",AJ148="",AJ149="",AJ150=""),AH150-AI150,"")))</f>
      </c>
      <c r="AI151" s="12">
        <f t="shared" si="56"/>
      </c>
      <c r="AJ151" s="65">
        <f t="shared" si="57"/>
      </c>
      <c r="AK151" s="7" t="s">
        <v>58</v>
      </c>
      <c r="AL151" s="12">
        <f>IF(AC151=0,"",IF(AND(AM147="",AM148="",AM149="",AM150=""),$J$43,IF(AND(AN147="",AN148="",AN149="",AN150=""),AL150-AM150,"")))</f>
      </c>
      <c r="AM151" s="12">
        <f t="shared" si="58"/>
      </c>
      <c r="AN151" s="65">
        <f t="shared" si="59"/>
      </c>
      <c r="AO151" s="7" t="s">
        <v>58</v>
      </c>
      <c r="AU151" s="1" t="s">
        <v>196</v>
      </c>
    </row>
    <row r="152" spans="24:47" ht="12.75" hidden="1">
      <c r="X152" s="7"/>
      <c r="Y152" s="7">
        <v>6</v>
      </c>
      <c r="Z152" s="12">
        <f>IF(ROUND(AF141,0)=0,"",IF(Z151="",$L$19,ABS(Z151-AC151)))</f>
      </c>
      <c r="AA152" s="65">
        <f>IF(Z152&lt;0.5,0,IF(Z152="",0,IF(AB141=0,$J$13,AB141)))</f>
        <v>0</v>
      </c>
      <c r="AB152" s="65">
        <f>IF(Z152="",0,IF(Z152&lt;0.5,0,IF(Z152&lt;=AF141,AA152+Z152*V67,$L$13)))</f>
        <v>0</v>
      </c>
      <c r="AC152" s="12">
        <f t="shared" si="55"/>
        <v>0</v>
      </c>
      <c r="AD152">
        <f>IF($N$13=0,"",IF(Z152="","",IF(ROUND(AC152-$N$13,0)=0,"LOT 7",IF(Z152&lt;0.5,"",IF(AB152-AA152&lt;$N$13,"PARTIAL","NOT")))))</f>
      </c>
      <c r="AF152" s="12">
        <f>IF(Z152="",0,$N$13-AC152-AC141-AC130-AC119-AC108-AC97-AC86)</f>
        <v>0</v>
      </c>
      <c r="AG152" s="7" t="s">
        <v>61</v>
      </c>
      <c r="AH152" s="12">
        <f>IF(AC152=0,"",IF(AND(AI147="",AI148="",AI149="",AI150="",AI151=""),$J$42,IF(AND(AJ147="",AJ148="",AJ149="",AJ150="",AJ151=""),AH151-AI151,"")))</f>
      </c>
      <c r="AI152" s="12">
        <f t="shared" si="56"/>
      </c>
      <c r="AJ152" s="65">
        <f t="shared" si="57"/>
      </c>
      <c r="AK152" s="7" t="s">
        <v>61</v>
      </c>
      <c r="AL152" s="12">
        <f>IF(AC152=0,"",IF(AND(AM147="",AM148="",AM149="",AM150="",AM151=""),$J$43,IF(AND(AN147="",AN148="",AN149="",AN150="",AN151=""),AL151-AM151,"")))</f>
      </c>
      <c r="AM152" s="12">
        <f t="shared" si="58"/>
      </c>
      <c r="AN152" s="65">
        <f t="shared" si="59"/>
      </c>
      <c r="AO152" s="7" t="s">
        <v>61</v>
      </c>
      <c r="AU152" s="1" t="s">
        <v>266</v>
      </c>
    </row>
    <row r="153" spans="24:47" ht="12.75" hidden="1">
      <c r="X153" s="7"/>
      <c r="Y153" s="7">
        <v>7</v>
      </c>
      <c r="Z153" s="12">
        <f>IF(ROUND(AF142,0)=0,"",IF(Z152="",$L$19,ABS(Z152-AC152)))</f>
      </c>
      <c r="AA153" s="65">
        <f>IF(Z153&lt;0.5,0,IF(Z153="",0,IF(AB142=0,$J$14,AB142)))</f>
        <v>0</v>
      </c>
      <c r="AB153" s="65">
        <f>IF(Z153="",0,IF(Z153&lt;0.5,0,IF(Z153&lt;=AF142,AA153+Z153*V68,$L$14)))</f>
        <v>0</v>
      </c>
      <c r="AC153" s="12">
        <f>ABS(AB153-AA153)</f>
        <v>0</v>
      </c>
      <c r="AD153">
        <f>IF($N$14=0,"",IF(Z153="","",IF(ROUND(AC153-$N$14,0)=0,"LOT 7",IF(Z153&lt;0.5,"",IF(AB153-AA153&lt;$N$14,"PARTIAL","NOT")))))</f>
      </c>
      <c r="AF153" s="12">
        <f>IF(Z153="",0,$N$14-AC153-AC142-AC131-AC120-AC109-AC98-AC87)</f>
        <v>0</v>
      </c>
      <c r="AG153" s="7" t="s">
        <v>237</v>
      </c>
      <c r="AH153" s="12">
        <f>IF(AC153=0,"",IF(AND(AI149="",AI150="",AI151="",AI152=""),$J$42,IF(AND(AJ149="",AJ150="",AJ151="",AJ152=""),AH152-AI152,"")))</f>
      </c>
      <c r="AI153" s="12">
        <f t="shared" si="56"/>
      </c>
      <c r="AJ153" s="65">
        <f t="shared" si="57"/>
      </c>
      <c r="AK153" s="7" t="s">
        <v>237</v>
      </c>
      <c r="AL153" s="12">
        <f>IF(AC153=0,"",IF(AND(AM148="",AM149="",AM150="",AM151="",AM152=""),$J$43,IF(AND(AN148="",AN149="",AN150="",AN151="",AN152=""),AL152-AM152,"")))</f>
      </c>
      <c r="AM153" s="12">
        <f t="shared" si="58"/>
      </c>
      <c r="AN153" s="65">
        <f t="shared" si="59"/>
      </c>
      <c r="AO153" s="7" t="s">
        <v>237</v>
      </c>
      <c r="AU153" s="1" t="s">
        <v>267</v>
      </c>
    </row>
    <row r="154" spans="25:47" ht="12.75" hidden="1">
      <c r="Y154" s="7">
        <v>8</v>
      </c>
      <c r="Z154" s="12">
        <f>IF(ROUND(AF143,0)=0,"",IF(Z153="",$L$19,ABS(Z153-AC153)))</f>
      </c>
      <c r="AA154" s="65">
        <f>IF(Z154&lt;0.5,0,IF(Z154="",0,IF(AB143=0,$J$15,AB143)))</f>
        <v>0</v>
      </c>
      <c r="AB154" s="65">
        <f>IF(Z154="",0,IF(Z154&lt;0.5,0,IF(Z154&lt;=AF143,AA154+Z154*V69,$L$15)))</f>
        <v>0</v>
      </c>
      <c r="AC154" s="12">
        <f>ABS(AB154-AA154)</f>
        <v>0</v>
      </c>
      <c r="AD154">
        <f>IF($N$15=0,"",IF(Z154="","",IF(ROUND(AC154-$N$15,0)=0,"LOT 7",IF(Z154&lt;0.5,"",IF(AB154-AA154&lt;$N$15,"PARTIAL","NOT")))))</f>
      </c>
      <c r="AF154" s="12">
        <f>IF(Z154="",0,$N$15-AC154-AC143-AC132-AC121-AC110-AC99-AC88)</f>
        <v>0</v>
      </c>
      <c r="AG154" s="7" t="s">
        <v>238</v>
      </c>
      <c r="AH154" s="12">
        <f>IF(AC154=0,"",IF(AND(AI150="",AI151="",AI152="",AI153=""),$J$42,IF(AND(AJ150="",AJ151="",AJ152="",AJ153=""),AH153-AI153,"")))</f>
      </c>
      <c r="AI154" s="12">
        <f t="shared" si="56"/>
      </c>
      <c r="AJ154" s="65">
        <f t="shared" si="57"/>
      </c>
      <c r="AK154" s="7" t="s">
        <v>238</v>
      </c>
      <c r="AL154" s="12">
        <f>IF(AC154=0,"",IF(AND(AM149="",AM150="",AM151="",AM152="",AM153=""),$J$43,IF(AND(AN149="",AN150="",AN151="",AN152="",AN153=""),AL153-AM153,"")))</f>
      </c>
      <c r="AM154" s="12">
        <f t="shared" si="58"/>
      </c>
      <c r="AN154" s="65">
        <f t="shared" si="59"/>
      </c>
      <c r="AO154" s="7" t="s">
        <v>238</v>
      </c>
      <c r="AU154" s="1" t="s">
        <v>268</v>
      </c>
    </row>
    <row r="155" spans="25:47" ht="12.75" hidden="1">
      <c r="Y155" s="7">
        <v>9</v>
      </c>
      <c r="Z155" s="12">
        <f>IF(ROUND(AF144,0)=0,"",IF(Z154="",$L$19,ABS(Z154-AC154)))</f>
      </c>
      <c r="AA155" s="65">
        <f>IF(Z155&lt;0.5,0,IF(Z155="",0,IF(AB144=0,$J$16,AB144)))</f>
        <v>0</v>
      </c>
      <c r="AB155" s="65">
        <f>IF(Z155="",0,IF(Z155&lt;0.5,0,IF(Z155&lt;=AF144,AA155+Z155*V70,$L$16)))</f>
        <v>0</v>
      </c>
      <c r="AC155" s="12">
        <f>ABS(AB155-AA155)</f>
        <v>0</v>
      </c>
      <c r="AD155">
        <f>IF($N$16=0,"",IF(Z155="","",IF(ROUND(AC155-$N$16,0)=0,"LOT 7",IF(Z155&lt;0.5,"",IF(AB155-AA155&lt;$N$16,"PARTIAL","NOT")))))</f>
      </c>
      <c r="AF155" s="12">
        <f>IF(Z155="",0,$N$16-AC155-AC144-AC133-AC122-AC111-AC100-AC89)</f>
        <v>0</v>
      </c>
      <c r="AG155" s="7" t="s">
        <v>276</v>
      </c>
      <c r="AH155" s="12">
        <f>IF(AC155=0,"",IF(AND(AI150="",AI151="",AI152="",AI153="",AI154=""),$J$42,IF(AND(AJ150="",AJ151="",AJ152="",AJ153="",AJ154=""),AH154-AI154,"")))</f>
      </c>
      <c r="AI155" s="12">
        <f t="shared" si="56"/>
      </c>
      <c r="AJ155" s="65">
        <f t="shared" si="57"/>
      </c>
      <c r="AK155" s="7" t="s">
        <v>276</v>
      </c>
      <c r="AL155" s="12">
        <f>IF(AC155=0,"",IF(AND(AM149="",AM150="",AM151="",AM152="",AM153="",AM154=""),$J$43,IF(AND(AN149="",AN150="",AN151="",AN152="",AN153="",AN154=""),AL154-AM154,"")))</f>
      </c>
      <c r="AM155" s="12">
        <f t="shared" si="58"/>
      </c>
      <c r="AN155" s="65">
        <f t="shared" si="59"/>
      </c>
      <c r="AO155" s="7" t="s">
        <v>276</v>
      </c>
      <c r="AU155" s="1" t="s">
        <v>208</v>
      </c>
    </row>
    <row r="156" spans="25:47" ht="12.75" hidden="1">
      <c r="Y156" s="7">
        <v>10</v>
      </c>
      <c r="Z156" s="12">
        <f>IF(ROUND(AF145,0)=0,"",IF(Z155="",$L$19,ABS(Z155-AC155)))</f>
      </c>
      <c r="AA156" s="65">
        <f>IF(Z156&lt;0.5,0,IF(Z156="",0,IF(AB145=0,$J$17,AB145)))</f>
        <v>0</v>
      </c>
      <c r="AB156" s="65">
        <f>IF(Z156="",0,IF(Z156&lt;0.5,0,IF(Z156&lt;=AF145,AA156+Z156*V71,$L$17)))</f>
        <v>0</v>
      </c>
      <c r="AC156" s="12">
        <f>ABS(AB156-AA156)</f>
        <v>0</v>
      </c>
      <c r="AD156">
        <f>IF($N$17=0,"",IF(Z156="","",IF(ROUND(AC156-$N$17,0)=0,"LOT 7",IF(Z156&lt;0.5,"",IF(AB156-AA156&lt;$N$17,"PARTIAL","NOT")))))</f>
      </c>
      <c r="AF156" s="12">
        <f>IF(Z156="",0,$N$17-AC156-AC145-AC134-AC123-AC112-AC101-AC90)</f>
        <v>0</v>
      </c>
      <c r="AG156" s="7" t="s">
        <v>296</v>
      </c>
      <c r="AH156" s="12">
        <f>IF(AC156=0,"",IF(AND(AI150="",AI151="",AI152="",AI153="",AI154="",AI155=""),$J$42,IF(AND(AJ150="",AJ151="",AJ152="",AJ153="",AJ154="",AJ155=""),AH155-AI155,"")))</f>
      </c>
      <c r="AI156" s="12">
        <f t="shared" si="56"/>
      </c>
      <c r="AJ156" s="65">
        <f t="shared" si="57"/>
      </c>
      <c r="AK156" s="7" t="s">
        <v>296</v>
      </c>
      <c r="AL156" s="12">
        <f>IF(AC156=0,"",IF(AND(AM149="",AM150="",AM151="",AM152="",AM153="",AM154="",AM155=""),$J$43,IF(AND(AN149="",AN150="",AN151="",AN152="",AN153="",AN154="",AN155=""),AL155-AM155,"")))</f>
      </c>
      <c r="AM156" s="12">
        <f t="shared" si="58"/>
      </c>
      <c r="AN156" s="65">
        <f t="shared" si="59"/>
      </c>
      <c r="AO156" s="7" t="s">
        <v>296</v>
      </c>
      <c r="AU156" s="1" t="s">
        <v>209</v>
      </c>
    </row>
    <row r="157" spans="26:47" ht="12.75" hidden="1">
      <c r="Z157" s="12"/>
      <c r="AC157" s="12"/>
      <c r="AF157" s="12"/>
      <c r="AU157" s="1" t="s">
        <v>210</v>
      </c>
    </row>
    <row r="158" ht="12.75" hidden="1">
      <c r="AU158" s="1" t="s">
        <v>211</v>
      </c>
    </row>
    <row r="159" ht="12.75" hidden="1">
      <c r="AU159" s="1" t="s">
        <v>212</v>
      </c>
    </row>
    <row r="160" ht="12.75" hidden="1">
      <c r="AU160" s="1" t="s">
        <v>213</v>
      </c>
    </row>
    <row r="161" ht="12.75" hidden="1">
      <c r="AU161" s="1" t="s">
        <v>214</v>
      </c>
    </row>
    <row r="162" ht="12.75" hidden="1">
      <c r="AU162" s="174" t="s">
        <v>224</v>
      </c>
    </row>
    <row r="163" ht="12.75" hidden="1">
      <c r="AU163" s="1" t="s">
        <v>223</v>
      </c>
    </row>
    <row r="164" ht="12.75" hidden="1">
      <c r="AU164" s="1" t="s">
        <v>225</v>
      </c>
    </row>
    <row r="165" ht="12.75" hidden="1">
      <c r="AU165" s="1" t="s">
        <v>226</v>
      </c>
    </row>
    <row r="166" ht="12.75" hidden="1">
      <c r="AU166" s="1" t="s">
        <v>227</v>
      </c>
    </row>
    <row r="167" ht="12.75" hidden="1">
      <c r="AU167" s="1" t="s">
        <v>228</v>
      </c>
    </row>
    <row r="168" ht="12.75" hidden="1">
      <c r="AU168" s="1" t="s">
        <v>229</v>
      </c>
    </row>
    <row r="169" ht="12.75" hidden="1">
      <c r="AU169" s="1" t="s">
        <v>269</v>
      </c>
    </row>
    <row r="170" ht="12.75" hidden="1">
      <c r="AU170" s="1" t="s">
        <v>270</v>
      </c>
    </row>
    <row r="171" ht="12.75" hidden="1">
      <c r="AU171" s="1" t="s">
        <v>271</v>
      </c>
    </row>
    <row r="172" ht="12.75" hidden="1">
      <c r="AU172" s="1" t="s">
        <v>201</v>
      </c>
    </row>
    <row r="173" ht="12.75" hidden="1">
      <c r="AU173" s="1" t="s">
        <v>202</v>
      </c>
    </row>
    <row r="174" ht="12.75" hidden="1">
      <c r="AU174" s="1" t="s">
        <v>203</v>
      </c>
    </row>
    <row r="175" ht="12.75" hidden="1">
      <c r="AU175" s="1" t="s">
        <v>204</v>
      </c>
    </row>
    <row r="176" ht="12.75" hidden="1">
      <c r="AU176" s="1" t="s">
        <v>205</v>
      </c>
    </row>
    <row r="177" ht="12.75" hidden="1">
      <c r="AU177" s="1" t="s">
        <v>206</v>
      </c>
    </row>
    <row r="178" ht="12.75" hidden="1">
      <c r="AU178" s="1" t="s">
        <v>207</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sheetData>
  <sheetProtection password="D86C" sheet="1" objects="1" scenarios="1"/>
  <mergeCells count="60">
    <mergeCell ref="K50:K51"/>
    <mergeCell ref="H8:I8"/>
    <mergeCell ref="H9:I9"/>
    <mergeCell ref="H18:I18"/>
    <mergeCell ref="H19:I19"/>
    <mergeCell ref="H10:I10"/>
    <mergeCell ref="H11:I11"/>
    <mergeCell ref="H44:M47"/>
    <mergeCell ref="H16:I16"/>
    <mergeCell ref="H17:I17"/>
    <mergeCell ref="F7:G7"/>
    <mergeCell ref="F8:G8"/>
    <mergeCell ref="F9:G9"/>
    <mergeCell ref="F10:G10"/>
    <mergeCell ref="AH76:AJ77"/>
    <mergeCell ref="E5:G5"/>
    <mergeCell ref="E6:G6"/>
    <mergeCell ref="E32:F32"/>
    <mergeCell ref="E35:F35"/>
    <mergeCell ref="E38:F38"/>
    <mergeCell ref="E41:F41"/>
    <mergeCell ref="F11:G11"/>
    <mergeCell ref="F12:G12"/>
    <mergeCell ref="F13:G13"/>
    <mergeCell ref="AL77:AN77"/>
    <mergeCell ref="J6:K6"/>
    <mergeCell ref="M5:N5"/>
    <mergeCell ref="H5:I5"/>
    <mergeCell ref="J5:K5"/>
    <mergeCell ref="H6:I6"/>
    <mergeCell ref="H12:I12"/>
    <mergeCell ref="H13:I13"/>
    <mergeCell ref="J20:K20"/>
    <mergeCell ref="L50:M51"/>
    <mergeCell ref="D48:E48"/>
    <mergeCell ref="D49:E49"/>
    <mergeCell ref="D50:E50"/>
    <mergeCell ref="D7:E7"/>
    <mergeCell ref="D8:E8"/>
    <mergeCell ref="D9:E9"/>
    <mergeCell ref="D10:E10"/>
    <mergeCell ref="D11:E11"/>
    <mergeCell ref="D12:E12"/>
    <mergeCell ref="D13:E13"/>
    <mergeCell ref="F14:G14"/>
    <mergeCell ref="H14:I14"/>
    <mergeCell ref="D15:E15"/>
    <mergeCell ref="F15:G15"/>
    <mergeCell ref="H15:I15"/>
    <mergeCell ref="D14:E14"/>
    <mergeCell ref="D47:E47"/>
    <mergeCell ref="D44:E44"/>
    <mergeCell ref="D45:E45"/>
    <mergeCell ref="D46:E46"/>
    <mergeCell ref="E26:F26"/>
    <mergeCell ref="E29:F29"/>
    <mergeCell ref="F16:G16"/>
    <mergeCell ref="F17:G17"/>
    <mergeCell ref="D16:E16"/>
    <mergeCell ref="D17:E17"/>
  </mergeCells>
  <dataValidations count="3">
    <dataValidation type="list" allowBlank="1" showInputMessage="1" showErrorMessage="1" sqref="P14:P17">
      <formula1>$AS$83:$AS$92</formula1>
    </dataValidation>
    <dataValidation type="list" allowBlank="1" showInputMessage="1" showErrorMessage="1" sqref="P19">
      <formula1>$AU$83:$AU$166</formula1>
    </dataValidation>
    <dataValidation type="list" allowBlank="1" showInputMessage="1" showErrorMessage="1" sqref="P13">
      <formula1>$AS$83:$AS$95</formula1>
    </dataValidation>
  </dataValidations>
  <printOptions horizontalCentered="1" verticalCentered="1"/>
  <pageMargins left="0.17" right="0.17" top="0.25" bottom="0.25" header="0" footer="0"/>
  <pageSetup blackAndWhite="1" fitToHeight="1" fitToWidth="1" horizontalDpi="300" verticalDpi="300" orientation="landscape" scale="76" r:id="rId3"/>
  <colBreaks count="1" manualBreakCount="1">
    <brk id="16" max="65535" man="1"/>
  </colBreaks>
  <legacyDrawing r:id="rId2"/>
</worksheet>
</file>

<file path=xl/worksheets/sheet4.xml><?xml version="1.0" encoding="utf-8"?>
<worksheet xmlns="http://schemas.openxmlformats.org/spreadsheetml/2006/main" xmlns:r="http://schemas.openxmlformats.org/officeDocument/2006/relationships">
  <sheetPr codeName="Sheet32"/>
  <dimension ref="A1:CB89"/>
  <sheetViews>
    <sheetView showGridLines="0" zoomScale="75" zoomScaleNormal="75" zoomScaleSheetLayoutView="75" workbookViewId="0" topLeftCell="A1">
      <selection activeCell="I38" sqref="I38:J38"/>
    </sheetView>
  </sheetViews>
  <sheetFormatPr defaultColWidth="9.140625" defaultRowHeight="12.75"/>
  <cols>
    <col min="1" max="1" width="4.7109375" style="0" customWidth="1"/>
    <col min="2" max="2" width="9.140625" style="0" hidden="1" customWidth="1"/>
    <col min="3" max="3" width="14.140625" style="18" customWidth="1"/>
    <col min="4" max="4" width="19.57421875" style="0" customWidth="1"/>
    <col min="5" max="5" width="11.00390625" style="0" customWidth="1"/>
    <col min="10" max="10" width="12.7109375" style="0" customWidth="1"/>
    <col min="11" max="11" width="18.421875" style="0" customWidth="1"/>
    <col min="12" max="12" width="13.7109375" style="0" customWidth="1"/>
    <col min="13" max="13" width="14.421875" style="0" bestFit="1" customWidth="1"/>
    <col min="14" max="14" width="10.57421875" style="0" bestFit="1" customWidth="1"/>
    <col min="15" max="15" width="12.7109375" style="0" customWidth="1"/>
    <col min="17" max="17" width="14.421875" style="0" customWidth="1"/>
    <col min="18" max="18" width="8.140625" style="0" customWidth="1"/>
    <col min="19" max="20" width="5.7109375" style="0" customWidth="1"/>
    <col min="21" max="21" width="5.7109375" style="0" hidden="1" customWidth="1"/>
    <col min="22" max="22" width="7.421875" style="0" hidden="1" customWidth="1"/>
    <col min="23" max="24" width="11.00390625" style="0" hidden="1" customWidth="1"/>
    <col min="25" max="25" width="13.140625" style="0" hidden="1" customWidth="1"/>
    <col min="26" max="26" width="9.00390625" style="0" hidden="1" customWidth="1"/>
    <col min="27" max="27" width="9.57421875" style="0" hidden="1" customWidth="1"/>
    <col min="28" max="28" width="8.7109375" style="0" hidden="1" customWidth="1"/>
    <col min="29" max="29" width="7.8515625" style="0" hidden="1" customWidth="1"/>
    <col min="30" max="31" width="7.57421875" style="0" hidden="1" customWidth="1"/>
    <col min="32" max="32" width="5.7109375" style="0" hidden="1" customWidth="1"/>
    <col min="33" max="33" width="10.8515625" style="0" hidden="1" customWidth="1"/>
    <col min="34" max="34" width="13.00390625" style="0" hidden="1" customWidth="1"/>
    <col min="35" max="35" width="5.7109375" style="0" hidden="1" customWidth="1"/>
    <col min="36" max="36" width="7.421875" style="0" hidden="1" customWidth="1"/>
    <col min="37" max="37" width="11.57421875" style="0" hidden="1" customWidth="1"/>
    <col min="38" max="38" width="12.28125" style="0" hidden="1" customWidth="1"/>
    <col min="39" max="39" width="11.8515625" style="0" hidden="1" customWidth="1"/>
    <col min="40" max="40" width="13.140625" style="0" hidden="1" customWidth="1"/>
    <col min="41" max="41" width="12.28125" style="0" hidden="1" customWidth="1"/>
    <col min="42" max="42" width="9.7109375" style="0" hidden="1" customWidth="1"/>
    <col min="43" max="45" width="5.7109375" style="0" hidden="1" customWidth="1"/>
    <col min="46" max="46" width="24.28125" style="0" hidden="1" customWidth="1"/>
    <col min="47" max="47" width="10.00390625" style="0" hidden="1" customWidth="1"/>
    <col min="48" max="48" width="13.140625" style="0" hidden="1" customWidth="1"/>
    <col min="49" max="49" width="12.421875" style="0" hidden="1" customWidth="1"/>
    <col min="50" max="54" width="5.7109375" style="0" hidden="1" customWidth="1"/>
    <col min="55" max="72" width="0" style="0" hidden="1" customWidth="1"/>
    <col min="73" max="73" width="18.00390625" style="0" hidden="1" customWidth="1"/>
    <col min="74" max="74" width="0" style="0" hidden="1" customWidth="1"/>
    <col min="75" max="75" width="11.7109375" style="159" hidden="1" customWidth="1"/>
    <col min="76" max="86" width="0" style="0" hidden="1" customWidth="1"/>
  </cols>
  <sheetData>
    <row r="1" spans="1:69" ht="12.75">
      <c r="A1" s="182"/>
      <c r="BG1" s="65"/>
      <c r="BH1" s="7"/>
      <c r="BJ1" s="12"/>
      <c r="BK1" s="12"/>
      <c r="BO1" s="66"/>
      <c r="BP1" s="66"/>
      <c r="BQ1" s="66"/>
    </row>
    <row r="2" spans="1:69" ht="12.75">
      <c r="A2" s="18"/>
      <c r="B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G2" s="65"/>
      <c r="BH2" s="7"/>
      <c r="BJ2" s="12"/>
      <c r="BK2" s="12"/>
      <c r="BO2" s="66"/>
      <c r="BP2" s="66"/>
      <c r="BQ2" s="66"/>
    </row>
    <row r="3" spans="1:70" ht="19.5">
      <c r="A3" s="18"/>
      <c r="B3" s="18"/>
      <c r="C3" s="183">
        <f>Notes!$A$2</f>
        <v>39548</v>
      </c>
      <c r="D3" s="18"/>
      <c r="E3" s="184" t="s">
        <v>306</v>
      </c>
      <c r="F3" s="18"/>
      <c r="H3" s="18"/>
      <c r="I3" s="18"/>
      <c r="J3" s="18"/>
      <c r="K3" s="18"/>
      <c r="M3" s="18"/>
      <c r="O3" s="18" t="s">
        <v>231</v>
      </c>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G3" s="65"/>
      <c r="BH3" s="65"/>
      <c r="BI3" s="65"/>
      <c r="BJ3" s="65"/>
      <c r="BK3" s="7"/>
      <c r="BL3" s="66" t="s">
        <v>28</v>
      </c>
      <c r="BM3" s="66" t="s">
        <v>29</v>
      </c>
      <c r="BN3" s="7" t="s">
        <v>8</v>
      </c>
      <c r="BO3" s="7"/>
      <c r="BQ3" s="7"/>
      <c r="BR3" s="66"/>
    </row>
    <row r="4" spans="1:70" ht="12.75">
      <c r="A4" s="18"/>
      <c r="B4" s="18"/>
      <c r="C4" s="107"/>
      <c r="D4" s="107"/>
      <c r="E4" s="107"/>
      <c r="F4" s="107"/>
      <c r="G4" s="107"/>
      <c r="H4" s="107"/>
      <c r="I4" s="107"/>
      <c r="J4" s="107"/>
      <c r="K4" s="107"/>
      <c r="L4" s="107"/>
      <c r="M4" s="107"/>
      <c r="N4" s="107"/>
      <c r="O4" s="107"/>
      <c r="P4" s="107"/>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G4" s="65"/>
      <c r="BH4" s="65"/>
      <c r="BI4" s="65"/>
      <c r="BJ4" s="65"/>
      <c r="BK4" s="7"/>
      <c r="BL4" s="66" t="s">
        <v>34</v>
      </c>
      <c r="BM4" s="66" t="s">
        <v>34</v>
      </c>
      <c r="BN4" s="7" t="s">
        <v>35</v>
      </c>
      <c r="BP4" s="7" t="s">
        <v>37</v>
      </c>
      <c r="BQ4" s="7" t="s">
        <v>37</v>
      </c>
      <c r="BR4" s="66"/>
    </row>
    <row r="5" spans="1:75" ht="24.75" customHeight="1">
      <c r="A5" s="18"/>
      <c r="B5" s="18"/>
      <c r="C5" s="107"/>
      <c r="D5" s="256" t="s">
        <v>0</v>
      </c>
      <c r="E5" s="394"/>
      <c r="F5" s="395"/>
      <c r="G5" s="394" t="s">
        <v>39</v>
      </c>
      <c r="H5" s="395"/>
      <c r="I5" s="394"/>
      <c r="J5" s="395"/>
      <c r="K5" s="189" t="s">
        <v>40</v>
      </c>
      <c r="L5" s="434"/>
      <c r="M5" s="523"/>
      <c r="N5" s="4" t="s">
        <v>33</v>
      </c>
      <c r="O5" s="230"/>
      <c r="P5" s="10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K5" s="7" t="s">
        <v>37</v>
      </c>
      <c r="BL5" s="66" t="s">
        <v>8</v>
      </c>
      <c r="BM5" s="66" t="s">
        <v>8</v>
      </c>
      <c r="BN5" s="7" t="s">
        <v>37</v>
      </c>
      <c r="BO5" s="7"/>
      <c r="BP5" s="7" t="s">
        <v>77</v>
      </c>
      <c r="BQ5" s="7" t="s">
        <v>82</v>
      </c>
      <c r="BR5" s="7" t="s">
        <v>37</v>
      </c>
      <c r="BU5" s="85" t="s">
        <v>55</v>
      </c>
      <c r="BW5" s="1" t="s">
        <v>153</v>
      </c>
    </row>
    <row r="6" spans="1:75" ht="24.75" customHeight="1">
      <c r="A6" s="18"/>
      <c r="B6" s="18"/>
      <c r="C6" s="107"/>
      <c r="D6" s="219" t="s">
        <v>2</v>
      </c>
      <c r="E6" s="524"/>
      <c r="F6" s="525"/>
      <c r="G6" s="413" t="s">
        <v>44</v>
      </c>
      <c r="H6" s="414"/>
      <c r="I6" s="526"/>
      <c r="J6" s="527"/>
      <c r="K6" s="190" t="s">
        <v>45</v>
      </c>
      <c r="L6" s="528"/>
      <c r="M6" s="529"/>
      <c r="N6" s="4" t="s">
        <v>41</v>
      </c>
      <c r="O6" s="231"/>
      <c r="P6" s="107"/>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K6" s="7" t="s">
        <v>88</v>
      </c>
      <c r="BL6" s="12">
        <v>0</v>
      </c>
      <c r="BM6" s="12">
        <f>F8</f>
        <v>0</v>
      </c>
      <c r="BN6" s="12">
        <f>ABS(BM6-BL6)</f>
        <v>0</v>
      </c>
      <c r="BO6" s="7"/>
      <c r="BP6" s="12">
        <f>O13</f>
        <v>0</v>
      </c>
      <c r="BQ6" s="12">
        <f>BP6+BL6</f>
        <v>0</v>
      </c>
      <c r="BR6" s="7" t="s">
        <v>88</v>
      </c>
      <c r="BU6" s="86" t="s">
        <v>57</v>
      </c>
      <c r="BW6" s="1" t="s">
        <v>154</v>
      </c>
    </row>
    <row r="7" spans="1:75" ht="24.75" customHeight="1">
      <c r="A7" s="18"/>
      <c r="B7" s="18"/>
      <c r="C7" s="107"/>
      <c r="D7" s="413" t="s">
        <v>109</v>
      </c>
      <c r="E7" s="414"/>
      <c r="F7" s="229"/>
      <c r="G7" s="413" t="s">
        <v>67</v>
      </c>
      <c r="H7" s="414"/>
      <c r="I7" s="4"/>
      <c r="J7" s="4" t="s">
        <v>63</v>
      </c>
      <c r="K7" s="232"/>
      <c r="L7" s="4" t="s">
        <v>110</v>
      </c>
      <c r="M7" s="329"/>
      <c r="N7" s="4" t="s">
        <v>235</v>
      </c>
      <c r="O7" s="231"/>
      <c r="P7" s="107"/>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K7" s="7"/>
      <c r="BL7" s="12"/>
      <c r="BM7" s="12"/>
      <c r="BN7" s="12"/>
      <c r="BR7" s="7"/>
      <c r="BU7" s="86" t="s">
        <v>59</v>
      </c>
      <c r="BW7" s="1" t="s">
        <v>155</v>
      </c>
    </row>
    <row r="8" spans="1:75" ht="24.75" customHeight="1">
      <c r="A8" s="18"/>
      <c r="B8" s="18"/>
      <c r="C8" s="107"/>
      <c r="D8" s="413" t="s">
        <v>111</v>
      </c>
      <c r="E8" s="414"/>
      <c r="F8" s="69"/>
      <c r="G8" s="415" t="s">
        <v>69</v>
      </c>
      <c r="H8" s="416"/>
      <c r="I8" s="69"/>
      <c r="J8" s="4" t="s">
        <v>5</v>
      </c>
      <c r="K8" s="231"/>
      <c r="L8" s="17" t="s">
        <v>60</v>
      </c>
      <c r="M8" s="235"/>
      <c r="N8" s="17" t="s">
        <v>53</v>
      </c>
      <c r="O8" s="236"/>
      <c r="P8" s="107"/>
      <c r="Q8" s="18"/>
      <c r="R8" s="18"/>
      <c r="S8" s="18"/>
      <c r="T8" s="18"/>
      <c r="U8" s="18"/>
      <c r="V8" s="18"/>
      <c r="W8" s="18"/>
      <c r="X8" s="18"/>
      <c r="Y8" s="18" t="s">
        <v>315</v>
      </c>
      <c r="Z8" s="18"/>
      <c r="AA8" s="18"/>
      <c r="AB8" s="18"/>
      <c r="AC8" s="18"/>
      <c r="AD8" s="18"/>
      <c r="AE8" s="18"/>
      <c r="AF8" s="18"/>
      <c r="AG8" s="18"/>
      <c r="AH8" s="18"/>
      <c r="AI8" s="18"/>
      <c r="AJ8" s="18"/>
      <c r="AK8" s="18"/>
      <c r="AL8" s="18"/>
      <c r="AM8" s="18" t="s">
        <v>317</v>
      </c>
      <c r="AN8" s="18"/>
      <c r="AO8" s="18"/>
      <c r="AP8" s="18"/>
      <c r="AQ8" s="18"/>
      <c r="AR8" s="18"/>
      <c r="AS8" s="18"/>
      <c r="AT8" s="18"/>
      <c r="AU8" s="18"/>
      <c r="AV8" s="18"/>
      <c r="AW8" s="18"/>
      <c r="AX8" s="18"/>
      <c r="AY8" s="18"/>
      <c r="AZ8" s="18"/>
      <c r="BA8" s="18"/>
      <c r="BB8" s="18"/>
      <c r="BC8" s="18"/>
      <c r="BD8" t="s">
        <v>8</v>
      </c>
      <c r="BE8" t="s">
        <v>9</v>
      </c>
      <c r="BJ8" s="7"/>
      <c r="BK8" s="7" t="s">
        <v>89</v>
      </c>
      <c r="BL8" s="12">
        <f>BM6</f>
        <v>0</v>
      </c>
      <c r="BM8" s="12">
        <f>BL8+F8</f>
        <v>0</v>
      </c>
      <c r="BN8" s="12">
        <f>ABS(BM8-BL8)</f>
        <v>0</v>
      </c>
      <c r="BO8" s="7"/>
      <c r="BP8" s="12">
        <f>O14</f>
        <v>0</v>
      </c>
      <c r="BQ8" s="12">
        <f>BP8+BL8</f>
        <v>0</v>
      </c>
      <c r="BR8" s="7" t="s">
        <v>89</v>
      </c>
      <c r="BU8" s="86" t="s">
        <v>257</v>
      </c>
      <c r="BW8" s="1" t="s">
        <v>156</v>
      </c>
    </row>
    <row r="9" spans="1:75" ht="24.75" customHeight="1">
      <c r="A9" s="18"/>
      <c r="B9" s="18"/>
      <c r="C9" s="107"/>
      <c r="D9" s="330"/>
      <c r="E9" s="330"/>
      <c r="F9" s="396" t="s">
        <v>274</v>
      </c>
      <c r="G9" s="509"/>
      <c r="H9" s="510"/>
      <c r="I9" s="331"/>
      <c r="J9" s="84"/>
      <c r="K9" s="231" t="s">
        <v>305</v>
      </c>
      <c r="L9" s="332"/>
      <c r="M9" s="274"/>
      <c r="N9" s="21"/>
      <c r="O9" s="275"/>
      <c r="P9" s="107"/>
      <c r="Q9" s="18"/>
      <c r="R9" s="18"/>
      <c r="S9" s="18"/>
      <c r="T9" s="18"/>
      <c r="U9" s="18"/>
      <c r="AF9" s="313"/>
      <c r="AG9" s="319"/>
      <c r="AH9" s="319"/>
      <c r="AI9" s="319"/>
      <c r="AJ9" s="319"/>
      <c r="AK9" s="319"/>
      <c r="AL9" s="319"/>
      <c r="AM9" s="319"/>
      <c r="AN9" s="319"/>
      <c r="AO9" s="319"/>
      <c r="AP9" s="319"/>
      <c r="AQ9" s="319"/>
      <c r="AR9" s="319"/>
      <c r="AS9" s="319"/>
      <c r="AT9" s="319"/>
      <c r="AU9" s="319"/>
      <c r="AV9" s="319"/>
      <c r="AW9" s="319"/>
      <c r="AX9" s="313"/>
      <c r="AY9" s="313"/>
      <c r="AZ9" s="313"/>
      <c r="BA9" s="313"/>
      <c r="BB9" s="18"/>
      <c r="BC9" s="18"/>
      <c r="BJ9" s="7"/>
      <c r="BK9" s="7"/>
      <c r="BL9" s="12"/>
      <c r="BM9" s="12"/>
      <c r="BN9" s="12"/>
      <c r="BO9" s="7"/>
      <c r="BP9" s="12"/>
      <c r="BQ9" s="12"/>
      <c r="BR9" s="7"/>
      <c r="BU9" s="86"/>
      <c r="BW9" s="1"/>
    </row>
    <row r="10" spans="1:75" ht="12" customHeight="1">
      <c r="A10" s="18"/>
      <c r="B10" s="18"/>
      <c r="C10" s="107"/>
      <c r="D10" s="107"/>
      <c r="E10" s="107"/>
      <c r="F10" s="107"/>
      <c r="G10" s="107"/>
      <c r="H10" s="107"/>
      <c r="I10" s="107"/>
      <c r="J10" s="107"/>
      <c r="K10" s="107"/>
      <c r="L10" s="107"/>
      <c r="M10" s="107"/>
      <c r="N10" s="107"/>
      <c r="O10" s="107"/>
      <c r="P10" s="107"/>
      <c r="Q10" s="18"/>
      <c r="R10" s="18"/>
      <c r="S10" s="18"/>
      <c r="T10" s="18"/>
      <c r="U10" s="18"/>
      <c r="V10" s="316"/>
      <c r="W10" s="316" t="s">
        <v>308</v>
      </c>
      <c r="X10" s="316" t="s">
        <v>308</v>
      </c>
      <c r="Y10" s="316" t="s">
        <v>310</v>
      </c>
      <c r="Z10" s="316" t="s">
        <v>312</v>
      </c>
      <c r="AA10" s="317" t="s">
        <v>312</v>
      </c>
      <c r="AB10" s="317" t="s">
        <v>37</v>
      </c>
      <c r="AC10" s="316" t="s">
        <v>37</v>
      </c>
      <c r="AD10" s="316" t="s">
        <v>37</v>
      </c>
      <c r="AE10" s="84"/>
      <c r="AF10" s="60"/>
      <c r="AG10" s="60"/>
      <c r="AH10" s="60"/>
      <c r="AI10" s="60"/>
      <c r="AJ10" s="60"/>
      <c r="AK10" s="60"/>
      <c r="AL10" s="60"/>
      <c r="AM10" s="60"/>
      <c r="AN10" s="60"/>
      <c r="AO10" s="60"/>
      <c r="AP10" s="60"/>
      <c r="AQ10" s="60"/>
      <c r="AR10" s="60"/>
      <c r="AS10" s="60"/>
      <c r="AT10" s="60"/>
      <c r="AU10" s="60"/>
      <c r="AV10" s="60"/>
      <c r="AW10" s="60"/>
      <c r="AX10" s="60"/>
      <c r="AY10" s="60"/>
      <c r="AZ10" s="60"/>
      <c r="BA10" s="60"/>
      <c r="BB10" s="18"/>
      <c r="BC10" s="18"/>
      <c r="BD10">
        <v>0.1</v>
      </c>
      <c r="BE10">
        <v>0</v>
      </c>
      <c r="BJ10" s="7"/>
      <c r="BK10" s="7"/>
      <c r="BL10" s="12"/>
      <c r="BM10" s="12"/>
      <c r="BN10" s="12"/>
      <c r="BR10" s="7"/>
      <c r="BU10" s="86" t="s">
        <v>64</v>
      </c>
      <c r="BW10" s="1" t="s">
        <v>157</v>
      </c>
    </row>
    <row r="11" spans="1:76" ht="15" customHeight="1">
      <c r="A11" s="18"/>
      <c r="B11" s="18"/>
      <c r="C11" s="107"/>
      <c r="D11" s="107"/>
      <c r="E11" s="107"/>
      <c r="F11" s="107"/>
      <c r="G11" s="107"/>
      <c r="H11" s="212"/>
      <c r="I11" s="333"/>
      <c r="J11" s="213"/>
      <c r="K11" s="311" t="s">
        <v>75</v>
      </c>
      <c r="L11" s="311" t="s">
        <v>34</v>
      </c>
      <c r="M11" s="120" t="s">
        <v>76</v>
      </c>
      <c r="N11" s="120" t="s">
        <v>112</v>
      </c>
      <c r="O11" s="120" t="s">
        <v>37</v>
      </c>
      <c r="P11" s="120" t="s">
        <v>37</v>
      </c>
      <c r="Q11" s="13" t="s">
        <v>76</v>
      </c>
      <c r="R11" s="13" t="s">
        <v>42</v>
      </c>
      <c r="S11" s="13" t="s">
        <v>126</v>
      </c>
      <c r="T11" s="53"/>
      <c r="U11" s="313"/>
      <c r="V11" s="316"/>
      <c r="W11" s="316" t="s">
        <v>37</v>
      </c>
      <c r="X11" s="316" t="s">
        <v>37</v>
      </c>
      <c r="Y11" s="316" t="s">
        <v>311</v>
      </c>
      <c r="Z11" s="316" t="s">
        <v>37</v>
      </c>
      <c r="AA11" s="317" t="s">
        <v>37</v>
      </c>
      <c r="AB11" s="317" t="s">
        <v>126</v>
      </c>
      <c r="AC11" s="316" t="s">
        <v>126</v>
      </c>
      <c r="AD11" s="316" t="s">
        <v>310</v>
      </c>
      <c r="AE11" s="84"/>
      <c r="AF11" s="60"/>
      <c r="AG11" s="65" t="s">
        <v>285</v>
      </c>
      <c r="AH11" s="65" t="s">
        <v>287</v>
      </c>
      <c r="AP11" s="65"/>
      <c r="AV11" s="65"/>
      <c r="AY11" s="60"/>
      <c r="AZ11" s="60"/>
      <c r="BA11" s="60"/>
      <c r="BB11" s="313"/>
      <c r="BC11" s="313"/>
      <c r="BD11" s="18"/>
      <c r="BE11">
        <v>1</v>
      </c>
      <c r="BF11">
        <v>1</v>
      </c>
      <c r="BK11" s="7"/>
      <c r="BL11" s="7" t="s">
        <v>113</v>
      </c>
      <c r="BM11" s="12">
        <f>IF($I$7&lt;2,"",BM8)</f>
      </c>
      <c r="BN11" s="12">
        <f>IF(BM11="","",BM11+$F$8)</f>
      </c>
      <c r="BO11" s="12">
        <f>IF(BM11="","",ABS(BN11-BM11))</f>
      </c>
      <c r="BP11" s="7"/>
      <c r="BQ11" s="12">
        <f>O16</f>
        <v>0</v>
      </c>
      <c r="BR11" s="12">
        <f>IF(BM11="","",BQ11+BM11)</f>
      </c>
      <c r="BS11" s="7" t="s">
        <v>113</v>
      </c>
      <c r="BV11" s="86" t="s">
        <v>258</v>
      </c>
      <c r="BW11"/>
      <c r="BX11" s="1" t="s">
        <v>158</v>
      </c>
    </row>
    <row r="12" spans="1:76" ht="15" customHeight="1">
      <c r="A12" s="18"/>
      <c r="B12" s="18"/>
      <c r="C12" s="107"/>
      <c r="D12" s="518" t="s">
        <v>114</v>
      </c>
      <c r="E12" s="519"/>
      <c r="F12" s="334"/>
      <c r="G12" s="334"/>
      <c r="H12" s="214" t="s">
        <v>13</v>
      </c>
      <c r="I12" s="335"/>
      <c r="J12" s="215" t="s">
        <v>10</v>
      </c>
      <c r="K12" s="318"/>
      <c r="L12" s="336" t="s">
        <v>82</v>
      </c>
      <c r="M12" s="130" t="s">
        <v>83</v>
      </c>
      <c r="N12" s="130" t="s">
        <v>37</v>
      </c>
      <c r="O12" s="130" t="s">
        <v>77</v>
      </c>
      <c r="P12" s="130" t="s">
        <v>82</v>
      </c>
      <c r="Q12" s="38" t="s">
        <v>83</v>
      </c>
      <c r="R12" s="38" t="s">
        <v>85</v>
      </c>
      <c r="S12" s="38"/>
      <c r="T12" s="53"/>
      <c r="U12" s="313"/>
      <c r="V12" s="316" t="s">
        <v>307</v>
      </c>
      <c r="W12" s="317" t="s">
        <v>302</v>
      </c>
      <c r="X12" s="316" t="s">
        <v>309</v>
      </c>
      <c r="Y12" s="316"/>
      <c r="Z12" s="316" t="s">
        <v>302</v>
      </c>
      <c r="AA12" s="317" t="s">
        <v>126</v>
      </c>
      <c r="AB12" s="317" t="s">
        <v>302</v>
      </c>
      <c r="AC12" s="316" t="s">
        <v>313</v>
      </c>
      <c r="AD12" s="316" t="s">
        <v>314</v>
      </c>
      <c r="AE12" s="84"/>
      <c r="AF12" s="60"/>
      <c r="AG12" s="65" t="s">
        <v>286</v>
      </c>
      <c r="AH12" s="65" t="s">
        <v>288</v>
      </c>
      <c r="AJ12" s="286" t="s">
        <v>284</v>
      </c>
      <c r="AK12" s="286" t="s">
        <v>291</v>
      </c>
      <c r="AL12" s="286" t="s">
        <v>292</v>
      </c>
      <c r="AM12" s="287" t="s">
        <v>293</v>
      </c>
      <c r="AN12" s="287" t="s">
        <v>294</v>
      </c>
      <c r="AO12" s="287" t="s">
        <v>295</v>
      </c>
      <c r="AP12" s="287"/>
      <c r="AT12" s="287" t="s">
        <v>316</v>
      </c>
      <c r="AU12" t="s">
        <v>302</v>
      </c>
      <c r="AV12" s="65" t="s">
        <v>303</v>
      </c>
      <c r="AW12" t="s">
        <v>303</v>
      </c>
      <c r="AY12" s="60"/>
      <c r="AZ12" s="60"/>
      <c r="BA12" s="60"/>
      <c r="BB12" s="313"/>
      <c r="BC12" s="313"/>
      <c r="BD12" s="18"/>
      <c r="BE12">
        <v>601</v>
      </c>
      <c r="BF12">
        <v>2</v>
      </c>
      <c r="BK12" s="7"/>
      <c r="BL12" s="7"/>
      <c r="BM12" s="12"/>
      <c r="BN12" s="12"/>
      <c r="BS12" s="7"/>
      <c r="BV12" s="86" t="s">
        <v>68</v>
      </c>
      <c r="BW12"/>
      <c r="BX12" s="1" t="s">
        <v>159</v>
      </c>
    </row>
    <row r="13" spans="1:80" ht="15" customHeight="1">
      <c r="A13" s="18"/>
      <c r="B13" s="18"/>
      <c r="C13" s="107"/>
      <c r="D13" s="4" t="s">
        <v>115</v>
      </c>
      <c r="E13" s="4" t="s">
        <v>34</v>
      </c>
      <c r="F13" s="84"/>
      <c r="G13" s="84"/>
      <c r="H13" s="237" t="s">
        <v>34</v>
      </c>
      <c r="I13" s="337">
        <f>IF(J13="","","Mat Core")</f>
      </c>
      <c r="J13" s="120"/>
      <c r="K13" s="156"/>
      <c r="L13" s="120"/>
      <c r="M13" s="166"/>
      <c r="N13" s="47"/>
      <c r="O13" s="70"/>
      <c r="P13" s="71"/>
      <c r="Q13" s="168"/>
      <c r="R13" s="71"/>
      <c r="S13" s="322"/>
      <c r="T13" s="60"/>
      <c r="U13" s="60"/>
      <c r="V13" s="7">
        <f>J13</f>
        <v>0</v>
      </c>
      <c r="W13" s="314">
        <f>'random numbers'!B149</f>
        <v>0.3001090884208679</v>
      </c>
      <c r="X13" s="7" t="str">
        <f>IF(W13&lt;0.5,"Y","N")</f>
        <v>Y</v>
      </c>
      <c r="Y13" s="7" t="str">
        <f>IF(X13="Y",CONCATENATE(V13," (test comp.)"),V13)</f>
        <v>0 (test comp.)</v>
      </c>
      <c r="Z13" s="314">
        <f>'random numbers'!B181</f>
        <v>0.692727267742157</v>
      </c>
      <c r="AA13" s="302">
        <f>IF(Z13&lt;0.5,(($L$9/2)-2),(($L$9/2)+2))</f>
        <v>2</v>
      </c>
      <c r="AB13" s="304">
        <f>Q13</f>
        <v>0</v>
      </c>
      <c r="AC13" s="303">
        <f>(($L$9-1)*AB13)+0.5</f>
        <v>0.5</v>
      </c>
      <c r="AD13" s="303">
        <f>IF(P15=P13,AA13,AC13)</f>
        <v>2</v>
      </c>
      <c r="AE13" s="7"/>
      <c r="AF13" s="60"/>
      <c r="AG13" s="65" t="s">
        <v>289</v>
      </c>
      <c r="AH13" s="65">
        <f>IF($I$7&gt;5.5,2,1)</f>
        <v>1</v>
      </c>
      <c r="AJ13" s="286">
        <v>1</v>
      </c>
      <c r="AK13" s="286">
        <f>IF(OR($AG$14=1,(AND($I$7=6,$AG$18=1))),1,0)</f>
        <v>1</v>
      </c>
      <c r="AL13" s="286">
        <f>'random numbers'!$B$50</f>
        <v>0.9620345830917358</v>
      </c>
      <c r="AM13" s="287">
        <f aca="true" t="shared" si="0" ref="AM13:AM18">IF(AL13&lt;0.5,0.1,0.2)</f>
        <v>0.2</v>
      </c>
      <c r="AN13" s="287"/>
      <c r="AO13" s="287">
        <f>H14+AM13</f>
        <v>0.2</v>
      </c>
      <c r="AP13" s="287" t="str">
        <f aca="true" t="shared" si="1" ref="AP13:AP18">IF(AK13,CONCATENATE(AO13," LJD"),"")</f>
        <v>0.2 LJD</v>
      </c>
      <c r="AQ13" t="str">
        <f>IF('random numbers'!$B$60&gt;0.5,"L","R")</f>
        <v>R</v>
      </c>
      <c r="AR13" t="str">
        <f aca="true" t="shared" si="2" ref="AR13:AR18">IF(AK13=1,CONCATENATE(INT(AO13)+0.3,"L"),"")</f>
        <v>0.3L</v>
      </c>
      <c r="AS13" t="str">
        <f aca="true" t="shared" si="3" ref="AS13:AS18">IF(AK13=1,CONCATENATE(INT(AO13)+0.4,"R"),"")</f>
        <v>0.4R</v>
      </c>
      <c r="AT13" t="str">
        <f aca="true" t="shared" si="4" ref="AT13:AT18">IF(AK13=1,CONCATENATE(INT(AO13)+0.3,"L","  ",INT(AO13)+0.4,"R","  ","test comp to  ",CONCATENATE(INT(AO13),AW13)),"")</f>
        <v>0.3L  0.4R  test comp to  0.3L</v>
      </c>
      <c r="AU13" s="292">
        <f>'random numbers'!$B$30</f>
        <v>0.3719702959060669</v>
      </c>
      <c r="AV13" s="293" t="str">
        <f aca="true" t="shared" si="5" ref="AV13:AV18">IF(AU13&lt;0.5,".3",".4")</f>
        <v>.3</v>
      </c>
      <c r="AW13" s="293" t="str">
        <f aca="true" t="shared" si="6" ref="AW13:AW18">IF(AV13=".3",CONCATENATE(AV13,"L"),CONCATENATE(AV13,"R"))</f>
        <v>.3L</v>
      </c>
      <c r="AY13" s="60"/>
      <c r="AZ13" s="60"/>
      <c r="BA13" s="60"/>
      <c r="BB13" s="60"/>
      <c r="BC13" s="18"/>
      <c r="BD13" s="18"/>
      <c r="BE13">
        <v>1001</v>
      </c>
      <c r="BF13">
        <v>3</v>
      </c>
      <c r="BK13" s="7"/>
      <c r="BL13" s="7" t="s">
        <v>6</v>
      </c>
      <c r="BM13" s="12">
        <f>IF($I$7&lt;2,"",BN11)</f>
      </c>
      <c r="BN13" s="12">
        <f>IF(BM13="","",BM13+$F$8)</f>
      </c>
      <c r="BO13" s="12">
        <f>IF(BM13="","",ABS(BN13-BM13))</f>
      </c>
      <c r="BP13" s="7"/>
      <c r="BQ13" s="12">
        <f>O17</f>
        <v>0</v>
      </c>
      <c r="BR13" s="12">
        <f>IF(BM13="","",BQ13+BM13)</f>
      </c>
      <c r="BS13" s="7" t="s">
        <v>6</v>
      </c>
      <c r="BV13" s="86" t="s">
        <v>260</v>
      </c>
      <c r="BW13"/>
      <c r="BX13" s="1" t="s">
        <v>160</v>
      </c>
      <c r="CB13" s="168"/>
    </row>
    <row r="14" spans="1:80" ht="15" customHeight="1">
      <c r="A14" s="18"/>
      <c r="B14" s="18"/>
      <c r="C14" s="107"/>
      <c r="D14" s="4" t="s">
        <v>116</v>
      </c>
      <c r="E14" s="4">
        <v>1</v>
      </c>
      <c r="F14" s="84"/>
      <c r="G14" s="84"/>
      <c r="H14" s="338"/>
      <c r="I14" s="339">
        <f>IF(J14="","","Mat Core")</f>
      </c>
      <c r="J14" s="4"/>
      <c r="K14" s="156"/>
      <c r="L14" s="299"/>
      <c r="M14" s="340"/>
      <c r="N14" s="47"/>
      <c r="O14" s="74"/>
      <c r="P14" s="71"/>
      <c r="Q14" s="168"/>
      <c r="R14" s="71"/>
      <c r="S14" s="322"/>
      <c r="T14" s="60"/>
      <c r="U14" s="60"/>
      <c r="V14" s="7">
        <f>J14</f>
        <v>0</v>
      </c>
      <c r="W14" s="20"/>
      <c r="X14" s="7" t="str">
        <f>IF(W13&gt;0.5,"Y","N")</f>
        <v>N</v>
      </c>
      <c r="Y14" s="7">
        <f>IF(X14="Y",CONCATENATE(V14," (test comp.)"),V14)</f>
        <v>0</v>
      </c>
      <c r="Z14" s="7"/>
      <c r="AA14" s="302"/>
      <c r="AB14" s="304">
        <f>Q14</f>
        <v>0</v>
      </c>
      <c r="AC14" s="303">
        <f>(($L$9-1)*AB14)+0.5</f>
        <v>0.5</v>
      </c>
      <c r="AD14" s="303">
        <f>IF(P14=P15,AA13,AC14)</f>
        <v>2</v>
      </c>
      <c r="AE14" s="7"/>
      <c r="AF14" s="60"/>
      <c r="AG14" s="65">
        <f>+ROUND(('random numbers'!$B$170)*$I$7+0.5,0)</f>
        <v>1</v>
      </c>
      <c r="AH14" s="65"/>
      <c r="AJ14" s="286">
        <v>2</v>
      </c>
      <c r="AK14" s="286">
        <f>IF(OR($AG$14=2,(AND($I$7=6,$AG$18=2))),1,0)</f>
        <v>0</v>
      </c>
      <c r="AL14" s="286">
        <f>'random numbers'!$B$51</f>
        <v>0.20366007089614868</v>
      </c>
      <c r="AM14" s="287">
        <f t="shared" si="0"/>
        <v>0.1</v>
      </c>
      <c r="AN14" s="287"/>
      <c r="AO14" s="287" t="e">
        <f>H17+AM14</f>
        <v>#VALUE!</v>
      </c>
      <c r="AP14" s="287">
        <f t="shared" si="1"/>
      </c>
      <c r="AQ14" t="str">
        <f>IF('random numbers'!$B$61&gt;0.5,"L","R")</f>
        <v>L</v>
      </c>
      <c r="AR14">
        <f t="shared" si="2"/>
      </c>
      <c r="AS14">
        <f t="shared" si="3"/>
      </c>
      <c r="AT14">
        <f t="shared" si="4"/>
      </c>
      <c r="AU14" s="292">
        <f>'random numbers'!$B$31</f>
        <v>0.4426944851875305</v>
      </c>
      <c r="AV14" s="293" t="str">
        <f t="shared" si="5"/>
        <v>.3</v>
      </c>
      <c r="AW14" s="293" t="str">
        <f t="shared" si="6"/>
        <v>.3L</v>
      </c>
      <c r="AY14" s="60"/>
      <c r="AZ14" s="60"/>
      <c r="BA14" s="60"/>
      <c r="BB14" s="60"/>
      <c r="BC14" s="18"/>
      <c r="BD14" s="18"/>
      <c r="BE14">
        <v>1601</v>
      </c>
      <c r="BF14">
        <v>4</v>
      </c>
      <c r="BK14" s="7"/>
      <c r="BL14" s="7"/>
      <c r="BM14" s="12"/>
      <c r="BN14" s="12"/>
      <c r="BS14" s="7"/>
      <c r="BV14" s="86" t="s">
        <v>73</v>
      </c>
      <c r="BW14"/>
      <c r="BX14" s="1" t="s">
        <v>161</v>
      </c>
      <c r="CB14" s="168"/>
    </row>
    <row r="15" spans="1:80" ht="15" customHeight="1">
      <c r="A15" s="18"/>
      <c r="B15" s="18"/>
      <c r="C15" s="107"/>
      <c r="D15" s="4" t="s">
        <v>117</v>
      </c>
      <c r="E15" s="4">
        <v>2</v>
      </c>
      <c r="F15" s="84"/>
      <c r="G15" s="84"/>
      <c r="H15" s="297"/>
      <c r="I15" s="341">
        <f>IF(J15="","","LJD Core")</f>
      </c>
      <c r="J15" s="461"/>
      <c r="K15" s="462"/>
      <c r="L15" s="299"/>
      <c r="M15" s="342"/>
      <c r="N15" s="298"/>
      <c r="O15" s="299"/>
      <c r="P15" s="71"/>
      <c r="Q15" s="300"/>
      <c r="R15" s="72"/>
      <c r="S15" s="323"/>
      <c r="T15" s="60"/>
      <c r="U15" s="60"/>
      <c r="V15" s="7"/>
      <c r="W15" s="20"/>
      <c r="X15" s="7"/>
      <c r="Y15" s="7"/>
      <c r="Z15" s="7"/>
      <c r="AA15" s="302"/>
      <c r="AB15" s="304"/>
      <c r="AC15" s="303"/>
      <c r="AD15" s="303"/>
      <c r="AE15" s="7"/>
      <c r="AF15" s="60"/>
      <c r="AG15" s="65" t="s">
        <v>290</v>
      </c>
      <c r="AH15" s="65"/>
      <c r="AJ15" s="286">
        <v>3</v>
      </c>
      <c r="AK15" s="286">
        <f>IF(OR($AG$14=3,(AND($I$7=6,$AG$18=3))),1,0)</f>
        <v>0</v>
      </c>
      <c r="AL15" s="286">
        <f>'random numbers'!$B$52</f>
        <v>0.47878360748291016</v>
      </c>
      <c r="AM15" s="287">
        <f t="shared" si="0"/>
        <v>0.1</v>
      </c>
      <c r="AN15" s="287"/>
      <c r="AO15" s="287" t="e">
        <f>H20+AM15</f>
        <v>#VALUE!</v>
      </c>
      <c r="AP15" s="287">
        <f t="shared" si="1"/>
      </c>
      <c r="AQ15" t="str">
        <f>IF('random numbers'!$B$62&gt;0.5,"L","R")</f>
        <v>L</v>
      </c>
      <c r="AR15">
        <f t="shared" si="2"/>
      </c>
      <c r="AS15">
        <f t="shared" si="3"/>
      </c>
      <c r="AT15">
        <f t="shared" si="4"/>
      </c>
      <c r="AU15" s="292">
        <f>'random numbers'!$B$32</f>
        <v>0.49610114097595215</v>
      </c>
      <c r="AV15" s="293" t="str">
        <f t="shared" si="5"/>
        <v>.3</v>
      </c>
      <c r="AW15" s="293" t="str">
        <f t="shared" si="6"/>
        <v>.3L</v>
      </c>
      <c r="AY15" s="60"/>
      <c r="AZ15" s="60"/>
      <c r="BA15" s="60"/>
      <c r="BB15" s="60"/>
      <c r="BC15" s="18"/>
      <c r="BD15" s="18"/>
      <c r="BE15">
        <v>3601</v>
      </c>
      <c r="BF15">
        <v>5</v>
      </c>
      <c r="BL15" s="7" t="s">
        <v>91</v>
      </c>
      <c r="BM15" s="12">
        <f>IF($I$7&lt;3,"",BN13)</f>
      </c>
      <c r="BN15" s="12">
        <f>IF(BM15="","",BM15+$F$8)</f>
      </c>
      <c r="BO15" s="12">
        <f>IF(BM15="","",ABS(BN15-BM15))</f>
      </c>
      <c r="BP15" s="7"/>
      <c r="BQ15" s="12">
        <f>O19</f>
        <v>0</v>
      </c>
      <c r="BR15" s="12">
        <f>IF(BM15="","",BQ15+BM15)</f>
      </c>
      <c r="BS15" s="7" t="s">
        <v>91</v>
      </c>
      <c r="BV15" s="86" t="s">
        <v>261</v>
      </c>
      <c r="BW15"/>
      <c r="BX15" s="1" t="s">
        <v>162</v>
      </c>
      <c r="CB15" s="168"/>
    </row>
    <row r="16" spans="1:80" ht="15" customHeight="1">
      <c r="A16" s="18"/>
      <c r="B16" s="18"/>
      <c r="C16" s="107"/>
      <c r="D16" s="4" t="s">
        <v>118</v>
      </c>
      <c r="E16" s="4">
        <v>3</v>
      </c>
      <c r="F16" s="84"/>
      <c r="G16" s="84"/>
      <c r="H16" s="237" t="s">
        <v>34</v>
      </c>
      <c r="I16" s="337"/>
      <c r="J16" s="129"/>
      <c r="K16" s="156"/>
      <c r="L16" s="120"/>
      <c r="M16" s="166"/>
      <c r="N16" s="47"/>
      <c r="O16" s="70"/>
      <c r="P16" s="71"/>
      <c r="Q16" s="168"/>
      <c r="R16" s="71"/>
      <c r="S16" s="322"/>
      <c r="T16" s="60"/>
      <c r="U16" s="60"/>
      <c r="V16" s="7">
        <f>J16</f>
        <v>0</v>
      </c>
      <c r="W16" s="314">
        <f>'random numbers'!B150</f>
        <v>0.26806509494781494</v>
      </c>
      <c r="X16" s="7" t="str">
        <f>IF(W16&lt;0.5,"Y","N")</f>
        <v>Y</v>
      </c>
      <c r="Y16" s="7" t="str">
        <f>IF(X16="Y",CONCATENATE(V16," (test comp.)"),V16)</f>
        <v>0 (test comp.)</v>
      </c>
      <c r="Z16" s="314">
        <f>'random numbers'!B182</f>
        <v>0.29347288608551025</v>
      </c>
      <c r="AA16" s="302">
        <f>IF(Z16&lt;0.5,(($L$9/2)-2),(($L$9/2)+2))</f>
        <v>-2</v>
      </c>
      <c r="AB16" s="304">
        <f>Q16</f>
        <v>0</v>
      </c>
      <c r="AC16" s="303">
        <f>(($L$9-1)*AB16)+0.5</f>
        <v>0.5</v>
      </c>
      <c r="AD16" s="303">
        <f>IF(P18=P16,AA16,AC16)</f>
        <v>-2</v>
      </c>
      <c r="AE16" s="7"/>
      <c r="AF16" s="60"/>
      <c r="AG16" s="65">
        <f>+ROUND(('random numbers'!$B$171)*$I$7+0.5,0)</f>
        <v>1</v>
      </c>
      <c r="AH16" s="65"/>
      <c r="AJ16" s="286">
        <v>4</v>
      </c>
      <c r="AK16" s="286">
        <f>IF(OR($AG$14=4,(AND($I$7=6,$AG$18=4))),1,0)</f>
        <v>0</v>
      </c>
      <c r="AL16" s="286">
        <f>'random numbers'!$B$53</f>
        <v>0.12225455045700073</v>
      </c>
      <c r="AM16" s="287">
        <f t="shared" si="0"/>
        <v>0.1</v>
      </c>
      <c r="AN16" s="287"/>
      <c r="AO16" s="287" t="e">
        <f>H23+AM16</f>
        <v>#VALUE!</v>
      </c>
      <c r="AP16" s="287">
        <f t="shared" si="1"/>
      </c>
      <c r="AQ16" t="str">
        <f>IF('random numbers'!$B$63&gt;0.5,"L","R")</f>
        <v>R</v>
      </c>
      <c r="AR16">
        <f t="shared" si="2"/>
      </c>
      <c r="AS16">
        <f t="shared" si="3"/>
      </c>
      <c r="AT16">
        <f t="shared" si="4"/>
      </c>
      <c r="AU16" s="292">
        <f>'random numbers'!$B$33</f>
        <v>0.33588117361068726</v>
      </c>
      <c r="AV16" s="293" t="str">
        <f t="shared" si="5"/>
        <v>.3</v>
      </c>
      <c r="AW16" s="293" t="str">
        <f t="shared" si="6"/>
        <v>.3L</v>
      </c>
      <c r="AY16" s="60"/>
      <c r="AZ16" s="60"/>
      <c r="BA16" s="60"/>
      <c r="BB16" s="60"/>
      <c r="BC16" s="18"/>
      <c r="BD16" s="18"/>
      <c r="BE16">
        <v>5001</v>
      </c>
      <c r="BF16">
        <v>6</v>
      </c>
      <c r="BL16" s="7"/>
      <c r="BM16" s="12"/>
      <c r="BN16" s="12"/>
      <c r="BS16" s="7"/>
      <c r="BV16" s="255" t="s">
        <v>259</v>
      </c>
      <c r="BW16"/>
      <c r="BX16" s="1" t="s">
        <v>163</v>
      </c>
      <c r="CB16" s="168"/>
    </row>
    <row r="17" spans="1:80" ht="15" customHeight="1">
      <c r="A17" s="18"/>
      <c r="B17" s="18"/>
      <c r="C17" s="107"/>
      <c r="D17" s="4" t="s">
        <v>119</v>
      </c>
      <c r="E17" s="4">
        <v>4</v>
      </c>
      <c r="F17" s="84"/>
      <c r="G17" s="84"/>
      <c r="H17" s="343" t="str">
        <f>IF($I$7&gt;B23,H14+1," ")</f>
        <v> </v>
      </c>
      <c r="I17" s="339"/>
      <c r="J17" s="120"/>
      <c r="K17" s="156"/>
      <c r="L17" s="299">
        <f>IF($I$7&gt;1,$I$8,"")</f>
      </c>
      <c r="M17" s="342"/>
      <c r="N17" s="47"/>
      <c r="O17" s="70"/>
      <c r="P17" s="71"/>
      <c r="Q17" s="168"/>
      <c r="R17" s="71"/>
      <c r="S17" s="322"/>
      <c r="T17" s="60"/>
      <c r="U17" s="60"/>
      <c r="V17" s="7">
        <f>J17</f>
        <v>0</v>
      </c>
      <c r="W17" s="20"/>
      <c r="X17" s="7" t="str">
        <f>IF(W16&gt;0.5,"Y","N")</f>
        <v>N</v>
      </c>
      <c r="Y17" s="7">
        <f>IF(X17="Y",CONCATENATE(V17," (test comp.)"),V17)</f>
        <v>0</v>
      </c>
      <c r="Z17" s="7"/>
      <c r="AA17" s="302"/>
      <c r="AB17" s="304">
        <f>Q17</f>
        <v>0</v>
      </c>
      <c r="AC17" s="303">
        <f>(($L$9-1)*AB17)+0.5</f>
        <v>0.5</v>
      </c>
      <c r="AD17" s="303">
        <f>IF(P17=P18,AA16,AC17)</f>
        <v>-2</v>
      </c>
      <c r="AE17" s="7"/>
      <c r="AF17" s="60"/>
      <c r="AG17" s="65">
        <f>IF(AG14=AG16,AG16+1,AG16)</f>
        <v>2</v>
      </c>
      <c r="AH17" s="65"/>
      <c r="AJ17" s="286">
        <v>5</v>
      </c>
      <c r="AK17" s="286">
        <f>IF(OR($AG$14=5,(AND($I$7=6,$AG$18=5))),1,0)</f>
        <v>0</v>
      </c>
      <c r="AL17" s="286">
        <f>'random numbers'!$B$54</f>
        <v>0.4574209451675415</v>
      </c>
      <c r="AM17" s="287">
        <f t="shared" si="0"/>
        <v>0.1</v>
      </c>
      <c r="AN17" s="287"/>
      <c r="AO17" s="287" t="e">
        <f>H26+AM17</f>
        <v>#VALUE!</v>
      </c>
      <c r="AP17" s="287">
        <f t="shared" si="1"/>
      </c>
      <c r="AQ17" t="str">
        <f>IF('random numbers'!$B$64&gt;0.5,"L","R")</f>
        <v>L</v>
      </c>
      <c r="AR17">
        <f t="shared" si="2"/>
      </c>
      <c r="AS17">
        <f t="shared" si="3"/>
      </c>
      <c r="AT17">
        <f t="shared" si="4"/>
      </c>
      <c r="AU17" s="292">
        <f>'random numbers'!$B$34</f>
        <v>0.8165410757064819</v>
      </c>
      <c r="AV17" s="293" t="str">
        <f t="shared" si="5"/>
        <v>.4</v>
      </c>
      <c r="AW17" s="293" t="str">
        <f t="shared" si="6"/>
        <v>.4R</v>
      </c>
      <c r="AY17" s="60"/>
      <c r="AZ17" s="60"/>
      <c r="BA17" s="60"/>
      <c r="BB17" s="60"/>
      <c r="BC17" s="18"/>
      <c r="BD17" s="18"/>
      <c r="BL17" s="7" t="s">
        <v>92</v>
      </c>
      <c r="BM17" s="12">
        <f>IF($I$7&lt;3,"",BN15)</f>
      </c>
      <c r="BN17" s="12">
        <f>IF(BM17="","",BM17+$F$8)</f>
      </c>
      <c r="BO17" s="12">
        <f>IF(BM17="","",ABS(BN17-BM17))</f>
      </c>
      <c r="BP17" s="7"/>
      <c r="BQ17" s="12">
        <f>O20</f>
        <v>0</v>
      </c>
      <c r="BR17" s="12">
        <f>IF(BM17="","",BQ17+BM17)</f>
      </c>
      <c r="BS17" s="7" t="s">
        <v>92</v>
      </c>
      <c r="BV17" s="255" t="s">
        <v>262</v>
      </c>
      <c r="BW17"/>
      <c r="BX17" s="1" t="s">
        <v>164</v>
      </c>
      <c r="CB17" s="168"/>
    </row>
    <row r="18" spans="1:80" ht="15" customHeight="1">
      <c r="A18" s="18"/>
      <c r="B18" s="18"/>
      <c r="C18" s="107"/>
      <c r="D18" s="4" t="s">
        <v>120</v>
      </c>
      <c r="E18" s="4">
        <v>5</v>
      </c>
      <c r="F18" s="84"/>
      <c r="G18" s="84"/>
      <c r="H18" s="206"/>
      <c r="I18" s="341">
        <f>IF(J18="","","LJD Core")</f>
      </c>
      <c r="J18" s="461"/>
      <c r="K18" s="462"/>
      <c r="L18" s="344"/>
      <c r="M18" s="166"/>
      <c r="N18" s="47"/>
      <c r="O18" s="70"/>
      <c r="P18" s="71"/>
      <c r="Q18" s="300"/>
      <c r="R18" s="71"/>
      <c r="S18" s="322"/>
      <c r="T18" s="60"/>
      <c r="U18" s="60"/>
      <c r="V18" s="7"/>
      <c r="W18" s="20"/>
      <c r="X18" s="7"/>
      <c r="Y18" s="7"/>
      <c r="Z18" s="7"/>
      <c r="AA18" s="302"/>
      <c r="AB18" s="304"/>
      <c r="AC18" s="303"/>
      <c r="AD18" s="303"/>
      <c r="AE18" s="7"/>
      <c r="AF18" s="60"/>
      <c r="AG18" s="65">
        <f>IF(AG17&gt;$I$7,1,AG17)</f>
        <v>1</v>
      </c>
      <c r="AH18" s="65"/>
      <c r="AJ18" s="286">
        <v>6</v>
      </c>
      <c r="AK18" s="286">
        <f>IF(OR($AG$14=6,(AND($I$7=6,$AG$18=6))),1,0)</f>
        <v>0</v>
      </c>
      <c r="AL18" s="286">
        <f>'random numbers'!$B$55</f>
        <v>0.1863425374031067</v>
      </c>
      <c r="AM18" s="287">
        <f t="shared" si="0"/>
        <v>0.1</v>
      </c>
      <c r="AN18" s="287"/>
      <c r="AO18" s="287" t="e">
        <f>H29+AM18</f>
        <v>#VALUE!</v>
      </c>
      <c r="AP18" s="287">
        <f t="shared" si="1"/>
      </c>
      <c r="AQ18" t="str">
        <f>IF('random numbers'!$B$65&gt;0.5,"L","R")</f>
        <v>L</v>
      </c>
      <c r="AR18">
        <f t="shared" si="2"/>
      </c>
      <c r="AS18">
        <f t="shared" si="3"/>
      </c>
      <c r="AT18">
        <f t="shared" si="4"/>
      </c>
      <c r="AU18" s="292">
        <f>'random numbers'!$B$35</f>
        <v>0.3745613694190979</v>
      </c>
      <c r="AV18" s="293" t="str">
        <f t="shared" si="5"/>
        <v>.3</v>
      </c>
      <c r="AW18" s="293" t="str">
        <f t="shared" si="6"/>
        <v>.3L</v>
      </c>
      <c r="AY18" s="60"/>
      <c r="AZ18" s="60"/>
      <c r="BA18" s="60"/>
      <c r="BB18" s="60"/>
      <c r="BC18" s="18"/>
      <c r="BD18" s="18"/>
      <c r="BL18" s="7"/>
      <c r="BM18" s="12"/>
      <c r="BN18" s="12"/>
      <c r="BS18" s="7"/>
      <c r="BW18"/>
      <c r="BX18" s="1" t="s">
        <v>165</v>
      </c>
      <c r="CB18" s="168"/>
    </row>
    <row r="19" spans="1:76" ht="15" customHeight="1">
      <c r="A19" s="18"/>
      <c r="B19" s="18"/>
      <c r="C19" s="107"/>
      <c r="D19" s="4" t="s">
        <v>121</v>
      </c>
      <c r="E19" s="4">
        <v>6</v>
      </c>
      <c r="F19" s="84"/>
      <c r="G19" s="84"/>
      <c r="H19" s="237" t="s">
        <v>34</v>
      </c>
      <c r="I19" s="337"/>
      <c r="J19" s="120"/>
      <c r="K19" s="156"/>
      <c r="L19" s="120"/>
      <c r="M19" s="166"/>
      <c r="N19" s="47"/>
      <c r="O19" s="70"/>
      <c r="P19" s="71"/>
      <c r="Q19" s="168"/>
      <c r="R19" s="71"/>
      <c r="S19" s="322"/>
      <c r="T19" s="60"/>
      <c r="U19" s="60"/>
      <c r="V19" s="7">
        <f>J19</f>
        <v>0</v>
      </c>
      <c r="W19" s="314">
        <f>'random numbers'!B151</f>
        <v>0.3641970753669739</v>
      </c>
      <c r="X19" s="7" t="str">
        <f>IF(W19&lt;0.5,"Y","N")</f>
        <v>Y</v>
      </c>
      <c r="Y19" s="7" t="str">
        <f>IF(X19="Y",CONCATENATE(V19," (test comp.)"),V19)</f>
        <v>0 (test comp.)</v>
      </c>
      <c r="Z19" s="314">
        <f>'random numbers'!B183</f>
        <v>0.7568152546882629</v>
      </c>
      <c r="AA19" s="302">
        <f>IF(Z19&lt;0.5,(($L$9/2)-2),(($L$9/2)+2))</f>
        <v>2</v>
      </c>
      <c r="AB19" s="304">
        <f>Q19</f>
        <v>0</v>
      </c>
      <c r="AC19" s="303">
        <f>(($L$9-1)*AB19)+0.5</f>
        <v>0.5</v>
      </c>
      <c r="AD19" s="303">
        <f>IF(P21=P19,AA19,AC19)</f>
        <v>2</v>
      </c>
      <c r="AE19" s="7"/>
      <c r="AF19" s="60"/>
      <c r="AG19" s="65"/>
      <c r="AH19" s="65"/>
      <c r="AP19" s="65"/>
      <c r="AV19" s="65"/>
      <c r="AY19" s="60"/>
      <c r="AZ19" s="60"/>
      <c r="BA19" s="60"/>
      <c r="BB19" s="60"/>
      <c r="BC19" s="18"/>
      <c r="BD19" s="18"/>
      <c r="BL19" s="7" t="s">
        <v>93</v>
      </c>
      <c r="BM19" s="12">
        <f>IF($I$7&lt;4,"",BN17)</f>
      </c>
      <c r="BN19" s="12">
        <f>IF(BM19="","",BM19+$F$8)</f>
      </c>
      <c r="BO19" s="12">
        <f>IF(BM19="","",ABS(BN19-BM19))</f>
      </c>
      <c r="BP19" s="7"/>
      <c r="BQ19" s="12">
        <f>O22</f>
        <v>0</v>
      </c>
      <c r="BR19" s="12">
        <f>IF(BM19="","",BQ19+BM19)</f>
      </c>
      <c r="BS19" s="7" t="s">
        <v>93</v>
      </c>
      <c r="BW19"/>
      <c r="BX19" s="1" t="s">
        <v>166</v>
      </c>
    </row>
    <row r="20" spans="1:76" ht="15" customHeight="1">
      <c r="A20" s="18"/>
      <c r="B20" s="18"/>
      <c r="C20" s="107"/>
      <c r="D20" s="106" t="s">
        <v>122</v>
      </c>
      <c r="E20" s="107"/>
      <c r="F20" s="107"/>
      <c r="G20" s="107"/>
      <c r="H20" s="343" t="str">
        <f>IF($I$7&gt;B35,H17+1," ")</f>
        <v> </v>
      </c>
      <c r="I20" s="339"/>
      <c r="J20" s="120"/>
      <c r="K20" s="156"/>
      <c r="L20" s="299">
        <f>IF($I$7&gt;2,$I$8,"")</f>
      </c>
      <c r="M20" s="342"/>
      <c r="N20" s="47"/>
      <c r="O20" s="70"/>
      <c r="P20" s="71"/>
      <c r="Q20" s="168"/>
      <c r="R20" s="71"/>
      <c r="S20" s="322"/>
      <c r="T20" s="60"/>
      <c r="U20" s="60"/>
      <c r="V20" s="7">
        <f>J20</f>
        <v>0</v>
      </c>
      <c r="W20" s="20"/>
      <c r="X20" s="7" t="str">
        <f>IF(W19&gt;0.5,"Y","N")</f>
        <v>N</v>
      </c>
      <c r="Y20" s="7">
        <f>IF(X20="Y",CONCATENATE(V20," (test comp.)"),V20)</f>
        <v>0</v>
      </c>
      <c r="Z20" s="7"/>
      <c r="AA20" s="302"/>
      <c r="AB20" s="304">
        <f>Q20</f>
        <v>0</v>
      </c>
      <c r="AC20" s="303">
        <f>(($L$9-1)*AB20)+0.5</f>
        <v>0.5</v>
      </c>
      <c r="AD20" s="303">
        <f>IF(P20=P21,AA19,AC20)</f>
        <v>2</v>
      </c>
      <c r="AE20" s="7"/>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18"/>
      <c r="BD20" s="18"/>
      <c r="BI20" s="7" t="s">
        <v>37</v>
      </c>
      <c r="BJ20" s="7" t="s">
        <v>82</v>
      </c>
      <c r="BK20" s="20"/>
      <c r="BL20" s="7"/>
      <c r="BN20" s="12"/>
      <c r="BS20" s="7"/>
      <c r="BW20"/>
      <c r="BX20" s="1" t="s">
        <v>167</v>
      </c>
    </row>
    <row r="21" spans="1:76" ht="15" customHeight="1">
      <c r="A21" s="18"/>
      <c r="B21" s="111" t="s">
        <v>87</v>
      </c>
      <c r="C21" s="107"/>
      <c r="D21" s="106" t="s">
        <v>123</v>
      </c>
      <c r="E21" s="21"/>
      <c r="F21" s="21"/>
      <c r="G21" s="21"/>
      <c r="H21" s="206"/>
      <c r="I21" s="341">
        <f>IF(J21="","","LJD Core")</f>
      </c>
      <c r="J21" s="461"/>
      <c r="K21" s="462"/>
      <c r="L21" s="344"/>
      <c r="M21" s="166"/>
      <c r="N21" s="47"/>
      <c r="O21" s="70"/>
      <c r="P21" s="71"/>
      <c r="Q21" s="300"/>
      <c r="R21" s="71"/>
      <c r="S21" s="322"/>
      <c r="T21" s="60"/>
      <c r="U21" s="60"/>
      <c r="V21" s="7"/>
      <c r="W21" s="20"/>
      <c r="X21" s="7"/>
      <c r="Y21" s="7"/>
      <c r="Z21" s="7"/>
      <c r="AA21" s="302"/>
      <c r="AB21" s="304"/>
      <c r="AC21" s="303"/>
      <c r="AD21" s="303"/>
      <c r="AE21" s="7"/>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18"/>
      <c r="BD21" s="18"/>
      <c r="BI21" s="7" t="s">
        <v>88</v>
      </c>
      <c r="BJ21" s="66">
        <f>BQ6</f>
        <v>0</v>
      </c>
      <c r="BK21" s="73"/>
      <c r="BL21" s="7" t="s">
        <v>94</v>
      </c>
      <c r="BM21" s="12">
        <f>IF($I$7&lt;4,"",BN19)</f>
      </c>
      <c r="BN21" s="12">
        <f>IF(BM21="","",BM21+$F$8)</f>
      </c>
      <c r="BO21" s="12">
        <f>IF(BM21="","",ABS(BN21-BM21))</f>
      </c>
      <c r="BQ21" s="12">
        <f>O23</f>
        <v>0</v>
      </c>
      <c r="BR21" s="12">
        <f>IF(BM21="","",BQ21+BM21)</f>
      </c>
      <c r="BS21" s="7" t="s">
        <v>94</v>
      </c>
      <c r="BW21"/>
      <c r="BX21" s="1" t="s">
        <v>168</v>
      </c>
    </row>
    <row r="22" spans="1:76" ht="15" customHeight="1">
      <c r="A22" s="18"/>
      <c r="B22" s="111">
        <v>1</v>
      </c>
      <c r="C22" s="345" t="s">
        <v>98</v>
      </c>
      <c r="D22" s="346"/>
      <c r="E22" s="346"/>
      <c r="F22" s="347"/>
      <c r="G22" s="21"/>
      <c r="H22" s="237" t="s">
        <v>34</v>
      </c>
      <c r="I22" s="337"/>
      <c r="J22" s="120"/>
      <c r="K22" s="156"/>
      <c r="L22" s="120"/>
      <c r="M22" s="166"/>
      <c r="N22" s="47"/>
      <c r="O22" s="70"/>
      <c r="P22" s="71"/>
      <c r="Q22" s="168"/>
      <c r="R22" s="71"/>
      <c r="S22" s="322"/>
      <c r="T22" s="60"/>
      <c r="U22" s="60"/>
      <c r="V22" s="7">
        <f>J22</f>
        <v>0</v>
      </c>
      <c r="W22" s="314">
        <f>'random numbers'!B152</f>
        <v>0.8102219104766846</v>
      </c>
      <c r="X22" s="7" t="str">
        <f>IF(W22&lt;0.5,"Y","N")</f>
        <v>N</v>
      </c>
      <c r="Y22" s="7">
        <f>IF(X22="Y",CONCATENATE(V22," (test comp.)"),V22)</f>
        <v>0</v>
      </c>
      <c r="Z22" s="314">
        <f>'random numbers'!B184</f>
        <v>0.10120892524719238</v>
      </c>
      <c r="AA22" s="302">
        <f>IF(Z22&lt;0.5,(($L$9/2)-2),(($L$9/2)+2))</f>
        <v>-2</v>
      </c>
      <c r="AB22" s="304">
        <f>Q22</f>
        <v>0</v>
      </c>
      <c r="AC22" s="303">
        <f>(($L$9-1)*AB22)+0.5</f>
        <v>0.5</v>
      </c>
      <c r="AD22" s="303">
        <f>IF(O24=O22,AA22,AC22)</f>
        <v>-2</v>
      </c>
      <c r="AE22" s="7"/>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18"/>
      <c r="BD22" s="18"/>
      <c r="BI22" s="7" t="s">
        <v>89</v>
      </c>
      <c r="BJ22" s="66">
        <f>BQ8</f>
        <v>0</v>
      </c>
      <c r="BK22" s="73"/>
      <c r="BL22" s="7"/>
      <c r="BM22" s="12"/>
      <c r="BN22" s="12"/>
      <c r="BS22" s="7"/>
      <c r="BW22"/>
      <c r="BX22" s="1" t="s">
        <v>169</v>
      </c>
    </row>
    <row r="23" spans="1:76" ht="15" customHeight="1">
      <c r="A23" s="18"/>
      <c r="B23" s="111">
        <f>B22</f>
        <v>1</v>
      </c>
      <c r="C23" s="511"/>
      <c r="D23" s="512"/>
      <c r="E23" s="512"/>
      <c r="F23" s="513"/>
      <c r="G23" s="21"/>
      <c r="H23" s="343" t="str">
        <f>IF($I$7&gt;B41,H20+1," ")</f>
        <v> </v>
      </c>
      <c r="I23" s="339"/>
      <c r="J23" s="120"/>
      <c r="K23" s="156"/>
      <c r="L23" s="299">
        <f>IF($I$7&gt;3,$I$8,"")</f>
      </c>
      <c r="M23" s="342"/>
      <c r="N23" s="47"/>
      <c r="O23" s="70"/>
      <c r="P23" s="71"/>
      <c r="Q23" s="168"/>
      <c r="R23" s="71"/>
      <c r="S23" s="322"/>
      <c r="T23" s="60"/>
      <c r="U23" s="60"/>
      <c r="V23" s="7">
        <f>J23</f>
        <v>0</v>
      </c>
      <c r="W23" s="20"/>
      <c r="X23" s="7" t="str">
        <f>IF(W22&gt;0.5,"Y","N")</f>
        <v>Y</v>
      </c>
      <c r="Y23" s="7" t="str">
        <f>IF(X23="Y",CONCATENATE(V23," (test comp.)"),V23)</f>
        <v>0 (test comp.)</v>
      </c>
      <c r="Z23" s="7"/>
      <c r="AA23" s="302"/>
      <c r="AB23" s="304">
        <f>Q23</f>
        <v>0</v>
      </c>
      <c r="AC23" s="303">
        <f>(($L$9-1)*AB23)+0.5</f>
        <v>0.5</v>
      </c>
      <c r="AD23" s="303">
        <f>IF(O23=O24,AA22,AC23)</f>
        <v>-2</v>
      </c>
      <c r="AE23" s="7"/>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18"/>
      <c r="BD23" s="18"/>
      <c r="BI23" s="7" t="s">
        <v>90</v>
      </c>
      <c r="BJ23" s="66">
        <f>BR11</f>
      </c>
      <c r="BK23" s="73"/>
      <c r="BL23" s="7" t="s">
        <v>7</v>
      </c>
      <c r="BM23" s="12">
        <f>IF($I$7&lt;5,"",BN21)</f>
      </c>
      <c r="BN23" s="12">
        <f>IF(BM23="","",BM23+$F$8)</f>
      </c>
      <c r="BO23" s="12">
        <f>IF(BM23="","",ABS(BN23-BM23))</f>
      </c>
      <c r="BQ23" s="12">
        <f>O25</f>
        <v>0</v>
      </c>
      <c r="BR23" s="12">
        <f>IF(BM23="","",BQ23+BM23)</f>
      </c>
      <c r="BS23" s="7" t="s">
        <v>7</v>
      </c>
      <c r="BW23"/>
      <c r="BX23" s="1" t="s">
        <v>170</v>
      </c>
    </row>
    <row r="24" spans="1:76" ht="15" customHeight="1">
      <c r="A24" s="18"/>
      <c r="B24" s="18"/>
      <c r="C24" s="514"/>
      <c r="D24" s="512"/>
      <c r="E24" s="512"/>
      <c r="F24" s="513"/>
      <c r="G24" s="107"/>
      <c r="H24" s="206"/>
      <c r="I24" s="341">
        <f>IF(J24="","","LJD Core")</f>
      </c>
      <c r="J24" s="461"/>
      <c r="K24" s="462"/>
      <c r="L24" s="344"/>
      <c r="M24" s="166"/>
      <c r="N24" s="47"/>
      <c r="O24" s="70"/>
      <c r="P24" s="71"/>
      <c r="Q24" s="300"/>
      <c r="R24" s="72"/>
      <c r="S24" s="322"/>
      <c r="T24" s="60"/>
      <c r="U24" s="60"/>
      <c r="V24" s="7"/>
      <c r="W24" s="20"/>
      <c r="X24" s="7"/>
      <c r="Y24" s="7"/>
      <c r="Z24" s="7"/>
      <c r="AA24" s="302"/>
      <c r="AB24" s="304"/>
      <c r="AC24" s="303"/>
      <c r="AD24" s="303"/>
      <c r="AE24" s="7"/>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18"/>
      <c r="BD24" s="18"/>
      <c r="BI24" s="7" t="s">
        <v>6</v>
      </c>
      <c r="BJ24" s="66">
        <f>BR13</f>
      </c>
      <c r="BK24" s="73"/>
      <c r="BL24" s="7" t="s">
        <v>124</v>
      </c>
      <c r="BM24" s="12"/>
      <c r="BN24" s="12"/>
      <c r="BS24" s="7" t="s">
        <v>124</v>
      </c>
      <c r="BW24"/>
      <c r="BX24" s="1" t="s">
        <v>171</v>
      </c>
    </row>
    <row r="25" spans="1:76" ht="12" customHeight="1">
      <c r="A25" s="18"/>
      <c r="B25" s="111">
        <f>IF($G$7&gt;B23,B23+1," ")</f>
        <v>2</v>
      </c>
      <c r="C25" s="515"/>
      <c r="D25" s="516"/>
      <c r="E25" s="516"/>
      <c r="F25" s="517"/>
      <c r="G25" s="107"/>
      <c r="H25" s="237" t="s">
        <v>34</v>
      </c>
      <c r="I25" s="337"/>
      <c r="J25" s="120"/>
      <c r="K25" s="156"/>
      <c r="L25" s="120"/>
      <c r="M25" s="166"/>
      <c r="N25" s="47"/>
      <c r="O25" s="70"/>
      <c r="P25" s="71"/>
      <c r="Q25" s="168"/>
      <c r="R25" s="71"/>
      <c r="S25" s="322"/>
      <c r="T25" s="60"/>
      <c r="U25" s="60"/>
      <c r="V25" s="7">
        <f>J25</f>
        <v>0</v>
      </c>
      <c r="W25" s="315">
        <f>'random numbers'!B153</f>
        <v>0.9409889578819275</v>
      </c>
      <c r="X25" s="7" t="str">
        <f>IF(W25&lt;0.5,"Y","N")</f>
        <v>N</v>
      </c>
      <c r="Y25" s="7">
        <f>IF(X25="Y",CONCATENATE(V25," (test comp.)"),V25)</f>
        <v>0</v>
      </c>
      <c r="Z25" s="314">
        <f>'random numbers'!B185</f>
        <v>0.599186360836029</v>
      </c>
      <c r="AA25" s="302">
        <f>IF(Z25&lt;0.5,(($L$9/2)-2),(($L$9/2)+2))</f>
        <v>2</v>
      </c>
      <c r="AB25" s="304">
        <f>Q25</f>
        <v>0</v>
      </c>
      <c r="AC25" s="303">
        <f>(($L$9-1)*AB25)+0.5</f>
        <v>0.5</v>
      </c>
      <c r="AD25" s="303">
        <f>IF(O27=O25,AA25,AC25)</f>
        <v>2</v>
      </c>
      <c r="AE25" s="7"/>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18"/>
      <c r="BD25" s="18"/>
      <c r="BI25" s="7" t="s">
        <v>91</v>
      </c>
      <c r="BJ25" s="66">
        <f>BR15</f>
      </c>
      <c r="BK25" s="73"/>
      <c r="BL25" s="7" t="s">
        <v>95</v>
      </c>
      <c r="BM25" s="12">
        <f>IF($I$7&lt;5,"",BN23)</f>
      </c>
      <c r="BN25" s="12">
        <f>IF(BM25="","",BM25+$F$8)</f>
      </c>
      <c r="BO25" s="12">
        <f>IF(BM25="","",ABS(BN25-BM25))</f>
      </c>
      <c r="BQ25" s="12">
        <f>O26</f>
        <v>0</v>
      </c>
      <c r="BR25" s="12">
        <f>IF(BM25="","",BQ25+BM25)</f>
      </c>
      <c r="BS25" s="7" t="s">
        <v>95</v>
      </c>
      <c r="BW25"/>
      <c r="BX25" s="1" t="s">
        <v>172</v>
      </c>
    </row>
    <row r="26" spans="3:76" ht="15" customHeight="1">
      <c r="C26" s="107"/>
      <c r="D26" s="30"/>
      <c r="E26" s="30"/>
      <c r="F26" s="30"/>
      <c r="G26" s="30"/>
      <c r="H26" s="343" t="str">
        <f>IF($I$7&gt;B44,H23+1," ")</f>
        <v> </v>
      </c>
      <c r="I26" s="339"/>
      <c r="J26" s="120"/>
      <c r="K26" s="156"/>
      <c r="L26" s="299">
        <f>IF($I$7&gt;4,$I$8,"")</f>
      </c>
      <c r="M26" s="342"/>
      <c r="N26" s="47"/>
      <c r="O26" s="70"/>
      <c r="P26" s="71"/>
      <c r="Q26" s="168"/>
      <c r="R26" s="71"/>
      <c r="S26" s="322"/>
      <c r="T26" s="60"/>
      <c r="U26" s="60"/>
      <c r="V26" s="7">
        <f>J26</f>
        <v>0</v>
      </c>
      <c r="W26" s="20"/>
      <c r="X26" s="7" t="str">
        <f>IF(W25&gt;0.5,"Y","N")</f>
        <v>Y</v>
      </c>
      <c r="Y26" s="7" t="str">
        <f>IF(X26="Y",CONCATENATE(V26," (test comp.)"),V26)</f>
        <v>0 (test comp.)</v>
      </c>
      <c r="Z26" s="7"/>
      <c r="AA26" s="302"/>
      <c r="AB26" s="304">
        <f>Q26</f>
        <v>0</v>
      </c>
      <c r="AC26" s="303">
        <f>(($L$9-1)*AB26)+0.5</f>
        <v>0.5</v>
      </c>
      <c r="AD26" s="303">
        <f>IF(O26=O27,AA25,AC26)</f>
        <v>2</v>
      </c>
      <c r="AE26" s="7"/>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18"/>
      <c r="BD26" s="18"/>
      <c r="BI26" s="7" t="s">
        <v>92</v>
      </c>
      <c r="BJ26" s="66">
        <f>BR17</f>
      </c>
      <c r="BK26" s="73"/>
      <c r="BL26" s="7"/>
      <c r="BM26" s="12"/>
      <c r="BN26" s="12"/>
      <c r="BS26" s="7"/>
      <c r="BW26"/>
      <c r="BX26" s="1" t="s">
        <v>173</v>
      </c>
    </row>
    <row r="27" spans="3:76" ht="15" customHeight="1">
      <c r="C27" s="107"/>
      <c r="D27" s="30"/>
      <c r="E27" s="30"/>
      <c r="F27" s="30"/>
      <c r="G27" s="30"/>
      <c r="H27" s="206"/>
      <c r="I27" s="341">
        <f>IF(J27="","","LJD Core")</f>
      </c>
      <c r="J27" s="461"/>
      <c r="K27" s="462"/>
      <c r="L27" s="344"/>
      <c r="M27" s="166"/>
      <c r="N27" s="47"/>
      <c r="O27" s="70"/>
      <c r="P27" s="71"/>
      <c r="Q27" s="300"/>
      <c r="R27" s="71"/>
      <c r="S27" s="322"/>
      <c r="T27" s="60"/>
      <c r="U27" s="60"/>
      <c r="V27" s="7"/>
      <c r="W27" s="20"/>
      <c r="X27" s="7"/>
      <c r="Y27" s="7"/>
      <c r="Z27" s="7"/>
      <c r="AA27" s="302"/>
      <c r="AB27" s="304"/>
      <c r="AC27" s="303"/>
      <c r="AD27" s="303"/>
      <c r="AE27" s="7"/>
      <c r="AF27" s="18"/>
      <c r="AG27" s="18"/>
      <c r="AH27" s="18"/>
      <c r="AI27" s="18"/>
      <c r="AJ27" s="18"/>
      <c r="AK27" s="18"/>
      <c r="AL27" s="18"/>
      <c r="AM27" s="18"/>
      <c r="AN27" s="18"/>
      <c r="AO27" s="18"/>
      <c r="AP27" s="18"/>
      <c r="AQ27" s="18"/>
      <c r="AR27" s="18"/>
      <c r="AS27" s="18"/>
      <c r="AT27" s="18"/>
      <c r="AU27" s="18"/>
      <c r="AV27" s="18"/>
      <c r="AW27" s="18"/>
      <c r="AX27" s="18"/>
      <c r="AY27" s="18"/>
      <c r="AZ27" s="18"/>
      <c r="BA27" s="18"/>
      <c r="BB27" s="60"/>
      <c r="BC27" s="18"/>
      <c r="BD27" s="18"/>
      <c r="BI27" s="7"/>
      <c r="BJ27" s="66"/>
      <c r="BK27" s="73"/>
      <c r="BL27" s="7"/>
      <c r="BM27" s="12"/>
      <c r="BN27" s="12"/>
      <c r="BS27" s="7"/>
      <c r="BW27"/>
      <c r="BX27" s="1"/>
    </row>
    <row r="28" spans="3:76" ht="15" customHeight="1">
      <c r="C28" s="107"/>
      <c r="D28" s="30"/>
      <c r="E28" s="30"/>
      <c r="F28" s="30"/>
      <c r="G28" s="30"/>
      <c r="H28" s="237" t="s">
        <v>34</v>
      </c>
      <c r="I28" s="337"/>
      <c r="J28" s="4"/>
      <c r="K28" s="216"/>
      <c r="L28" s="311"/>
      <c r="M28" s="166"/>
      <c r="N28" s="47"/>
      <c r="O28" s="70"/>
      <c r="P28" s="71"/>
      <c r="Q28" s="168"/>
      <c r="R28" s="71"/>
      <c r="S28" s="322"/>
      <c r="T28" s="60"/>
      <c r="U28" s="60"/>
      <c r="V28" s="7">
        <f>J28</f>
        <v>0</v>
      </c>
      <c r="W28" s="314">
        <f>'random numbers'!B154</f>
        <v>0.07984626293182373</v>
      </c>
      <c r="X28" s="7" t="str">
        <f>IF(W28&lt;0.5,"Y","N")</f>
        <v>Y</v>
      </c>
      <c r="Y28" s="7" t="str">
        <f>IF(X28="Y",CONCATENATE(V28," (test comp.)"),V28)</f>
        <v>0 (test comp.)</v>
      </c>
      <c r="Z28" s="314">
        <f>'random numbers'!B186</f>
        <v>0.10525405406951904</v>
      </c>
      <c r="AA28" s="302">
        <f>IF(Z28&lt;0.5,(($L$9/2)-2),(($L$9/2)+2))</f>
        <v>-2</v>
      </c>
      <c r="AB28" s="304">
        <f>Q28</f>
        <v>0</v>
      </c>
      <c r="AC28" s="303">
        <f>(($L$9-1)*AB28)+0.5</f>
        <v>0.5</v>
      </c>
      <c r="AD28" s="303">
        <f>IF(O30=O28,AA28,AC28)</f>
        <v>-2</v>
      </c>
      <c r="AE28" s="7"/>
      <c r="AF28" s="18"/>
      <c r="AG28" s="18"/>
      <c r="AH28" s="18"/>
      <c r="AI28" s="18"/>
      <c r="AJ28" s="18"/>
      <c r="AK28" s="18"/>
      <c r="AL28" s="18"/>
      <c r="AM28" s="18"/>
      <c r="AN28" s="18"/>
      <c r="AO28" s="18"/>
      <c r="AP28" s="18"/>
      <c r="AQ28" s="18"/>
      <c r="AR28" s="18"/>
      <c r="AS28" s="18"/>
      <c r="AT28" s="18"/>
      <c r="AU28" s="18"/>
      <c r="AV28" s="18"/>
      <c r="AW28" s="18"/>
      <c r="AX28" s="18"/>
      <c r="AY28" s="18"/>
      <c r="AZ28" s="18"/>
      <c r="BA28" s="18"/>
      <c r="BB28" s="60"/>
      <c r="BC28" s="18"/>
      <c r="BD28" s="18"/>
      <c r="BI28" s="7"/>
      <c r="BJ28" s="66"/>
      <c r="BK28" s="73"/>
      <c r="BL28" s="7"/>
      <c r="BM28" s="12"/>
      <c r="BN28" s="12"/>
      <c r="BS28" s="7"/>
      <c r="BW28"/>
      <c r="BX28" s="1"/>
    </row>
    <row r="29" spans="3:76" ht="15" customHeight="1">
      <c r="C29" s="107"/>
      <c r="D29" s="30"/>
      <c r="E29" s="30"/>
      <c r="F29" s="30"/>
      <c r="G29" s="30"/>
      <c r="H29" s="343" t="str">
        <f>IF($I$7&gt;B47,H26+1," ")</f>
        <v> </v>
      </c>
      <c r="I29" s="339"/>
      <c r="J29" s="4"/>
      <c r="K29" s="196"/>
      <c r="L29" s="348">
        <f>IF($I$7&gt;5,$I$8,"")</f>
      </c>
      <c r="M29" s="166"/>
      <c r="N29" s="47"/>
      <c r="O29" s="74"/>
      <c r="P29" s="71"/>
      <c r="Q29" s="166"/>
      <c r="R29" s="75"/>
      <c r="S29" s="322"/>
      <c r="T29" s="60"/>
      <c r="U29" s="60"/>
      <c r="V29" s="7">
        <f>J29</f>
        <v>0</v>
      </c>
      <c r="W29" s="20"/>
      <c r="X29" s="7" t="str">
        <f>IF(W28&gt;0.5,"Y","N")</f>
        <v>N</v>
      </c>
      <c r="Y29" s="7">
        <f>IF(X29="Y",CONCATENATE(V29," (test comp.)"),V29)</f>
        <v>0</v>
      </c>
      <c r="Z29" s="7"/>
      <c r="AA29" s="302"/>
      <c r="AB29" s="304">
        <f>Q29</f>
        <v>0</v>
      </c>
      <c r="AC29" s="303">
        <f>(($L$9-1)*AB29)+0.5</f>
        <v>0.5</v>
      </c>
      <c r="AD29" s="303">
        <f>IF(O29=O30,AA28,AC29)</f>
        <v>-2</v>
      </c>
      <c r="AE29" s="7"/>
      <c r="BB29" s="60"/>
      <c r="BC29" s="18"/>
      <c r="BD29" s="18"/>
      <c r="BI29" s="7" t="s">
        <v>93</v>
      </c>
      <c r="BJ29" s="66">
        <f>BR19</f>
      </c>
      <c r="BK29" s="73"/>
      <c r="BL29" s="7" t="s">
        <v>96</v>
      </c>
      <c r="BM29" s="12">
        <f>IF($I$7&lt;6,"",BN25)</f>
      </c>
      <c r="BN29" s="12">
        <f>IF(BM29="","",BM29+$F$8)</f>
      </c>
      <c r="BO29" s="12">
        <f>IF(BM29="","",ABS(BN29-BM29))</f>
      </c>
      <c r="BQ29" s="12">
        <f>O28</f>
        <v>0</v>
      </c>
      <c r="BR29" s="12">
        <f>IF(BM29="","",BQ29+BM29)</f>
      </c>
      <c r="BS29" s="7" t="s">
        <v>96</v>
      </c>
      <c r="BW29"/>
      <c r="BX29" s="1" t="s">
        <v>174</v>
      </c>
    </row>
    <row r="30" spans="3:75" ht="15" customHeight="1">
      <c r="C30" s="107"/>
      <c r="D30" s="30"/>
      <c r="E30" s="30"/>
      <c r="F30" s="30"/>
      <c r="G30" s="30"/>
      <c r="H30" s="349"/>
      <c r="I30" s="341">
        <f>IF(J30="","","LJD Core")</f>
      </c>
      <c r="J30" s="434"/>
      <c r="K30" s="530"/>
      <c r="L30" s="130"/>
      <c r="M30" s="19"/>
      <c r="N30" s="19"/>
      <c r="O30" s="19"/>
      <c r="P30" s="71"/>
      <c r="Q30" s="350"/>
      <c r="R30" s="308"/>
      <c r="S30" s="23"/>
      <c r="T30" s="18"/>
      <c r="U30" s="18"/>
      <c r="V30" s="7"/>
      <c r="W30" s="7"/>
      <c r="X30" s="7"/>
      <c r="Y30" s="7"/>
      <c r="Z30" s="7"/>
      <c r="AA30" s="7"/>
      <c r="AB30" s="7"/>
      <c r="AC30" s="7"/>
      <c r="AD30" s="7"/>
      <c r="AE30" s="7"/>
      <c r="BB30" s="18"/>
      <c r="BC30" s="18"/>
      <c r="BH30" s="7" t="s">
        <v>94</v>
      </c>
      <c r="BI30" s="66">
        <f>BR21</f>
      </c>
      <c r="BJ30" s="73"/>
      <c r="BK30" s="7"/>
      <c r="BL30" s="12"/>
      <c r="BM30" s="12"/>
      <c r="BR30" s="7"/>
      <c r="BW30" s="1" t="s">
        <v>175</v>
      </c>
    </row>
    <row r="31" spans="4:75" ht="15" customHeight="1">
      <c r="D31" s="30"/>
      <c r="E31" s="30"/>
      <c r="F31" s="30"/>
      <c r="G31" s="30"/>
      <c r="H31" s="351"/>
      <c r="I31" s="84"/>
      <c r="J31" s="54"/>
      <c r="K31" s="56"/>
      <c r="L31" s="55"/>
      <c r="M31" s="56"/>
      <c r="N31" s="76"/>
      <c r="O31" s="77"/>
      <c r="P31" s="107"/>
      <c r="Q31" s="107"/>
      <c r="R31" s="18"/>
      <c r="S31" s="18"/>
      <c r="T31" s="18"/>
      <c r="U31" s="18"/>
      <c r="BB31" s="18"/>
      <c r="BC31" s="18"/>
      <c r="BH31" s="7"/>
      <c r="BI31" s="66"/>
      <c r="BJ31" s="73"/>
      <c r="BK31" s="7"/>
      <c r="BL31" s="12"/>
      <c r="BM31" s="12"/>
      <c r="BR31" s="7"/>
      <c r="BW31" s="1"/>
    </row>
    <row r="32" spans="4:75" ht="45" customHeight="1">
      <c r="D32" s="352" t="s">
        <v>152</v>
      </c>
      <c r="E32" s="352"/>
      <c r="F32" s="54"/>
      <c r="G32" s="54"/>
      <c r="H32" s="30"/>
      <c r="I32" s="30"/>
      <c r="J32" s="30"/>
      <c r="K32" s="30"/>
      <c r="L32" s="30"/>
      <c r="M32" s="30"/>
      <c r="N32" s="30"/>
      <c r="O32" s="30"/>
      <c r="P32" s="107"/>
      <c r="Q32" s="107"/>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H32" s="7" t="s">
        <v>7</v>
      </c>
      <c r="BI32" s="66">
        <f>BR23</f>
      </c>
      <c r="BJ32" s="73"/>
      <c r="BK32" s="7" t="s">
        <v>97</v>
      </c>
      <c r="BL32" s="12">
        <f>IF($I$7&lt;6,"",BN29)</f>
      </c>
      <c r="BM32" s="12">
        <f>IF(BL32="","",BL32+$F$8)</f>
      </c>
      <c r="BN32" s="12">
        <f>IF(BL32="","",ABS(BM32-BL32))</f>
      </c>
      <c r="BP32" s="12">
        <f>O29</f>
        <v>0</v>
      </c>
      <c r="BQ32" s="12">
        <f>IF(BL32="","",BP32+BL32)</f>
      </c>
      <c r="BR32" s="7" t="s">
        <v>97</v>
      </c>
      <c r="BW32" s="1" t="s">
        <v>176</v>
      </c>
    </row>
    <row r="33" spans="4:75" ht="45" customHeight="1" thickBot="1">
      <c r="D33" s="352"/>
      <c r="E33" s="352"/>
      <c r="F33" s="54"/>
      <c r="G33" s="54"/>
      <c r="H33" s="30"/>
      <c r="I33" s="30"/>
      <c r="J33" s="30"/>
      <c r="K33" s="30"/>
      <c r="L33" s="30"/>
      <c r="M33" s="30"/>
      <c r="N33" s="30"/>
      <c r="O33" s="30"/>
      <c r="P33" s="107"/>
      <c r="Q33" s="107"/>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H33" s="7" t="s">
        <v>95</v>
      </c>
      <c r="BI33" s="66">
        <f>BR25</f>
      </c>
      <c r="BJ33" s="73"/>
      <c r="BL33" s="12"/>
      <c r="BM33" s="12"/>
      <c r="BR33" s="12"/>
      <c r="BW33" s="1" t="s">
        <v>177</v>
      </c>
    </row>
    <row r="34" spans="3:75" ht="45" customHeight="1" thickBot="1">
      <c r="C34" s="240"/>
      <c r="D34" s="352"/>
      <c r="E34" s="520" t="s">
        <v>318</v>
      </c>
      <c r="F34" s="521"/>
      <c r="G34" s="521"/>
      <c r="H34" s="522"/>
      <c r="I34" s="499" t="s">
        <v>319</v>
      </c>
      <c r="J34" s="499"/>
      <c r="K34" s="499"/>
      <c r="L34" s="499"/>
      <c r="M34" s="499"/>
      <c r="N34" s="499"/>
      <c r="O34" s="499"/>
      <c r="P34" s="499"/>
      <c r="Q34" s="500"/>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H34" s="7" t="s">
        <v>96</v>
      </c>
      <c r="BI34" s="66">
        <f>BR29</f>
      </c>
      <c r="BJ34" s="73"/>
      <c r="BM34" s="12"/>
      <c r="BN34" s="12"/>
      <c r="BP34" s="12"/>
      <c r="BW34" s="1" t="s">
        <v>178</v>
      </c>
    </row>
    <row r="35" spans="1:75" ht="45" customHeight="1" thickBot="1">
      <c r="A35" s="439" t="s">
        <v>125</v>
      </c>
      <c r="B35" s="440"/>
      <c r="C35" s="440"/>
      <c r="D35" s="352" t="s">
        <v>32</v>
      </c>
      <c r="E35" s="501" t="s">
        <v>320</v>
      </c>
      <c r="F35" s="502"/>
      <c r="G35" s="503" t="s">
        <v>126</v>
      </c>
      <c r="H35" s="504"/>
      <c r="I35" s="505" t="s">
        <v>321</v>
      </c>
      <c r="J35" s="506"/>
      <c r="K35" s="507" t="s">
        <v>126</v>
      </c>
      <c r="L35" s="502"/>
      <c r="M35" s="508" t="s">
        <v>322</v>
      </c>
      <c r="N35" s="506"/>
      <c r="O35" s="507" t="s">
        <v>126</v>
      </c>
      <c r="P35" s="502"/>
      <c r="Q35" s="502"/>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H35" s="7" t="s">
        <v>97</v>
      </c>
      <c r="BI35" s="66">
        <f>BQ32</f>
      </c>
      <c r="BJ35" s="73"/>
      <c r="BM35" s="12"/>
      <c r="BN35" s="12"/>
      <c r="BW35" s="1" t="s">
        <v>179</v>
      </c>
    </row>
    <row r="36" spans="1:75" ht="45" customHeight="1" thickBot="1">
      <c r="A36" s="444"/>
      <c r="B36" s="440"/>
      <c r="C36" s="440"/>
      <c r="D36" s="353"/>
      <c r="E36" s="494"/>
      <c r="F36" s="495"/>
      <c r="G36" s="496"/>
      <c r="H36" s="497"/>
      <c r="I36" s="498"/>
      <c r="J36" s="493"/>
      <c r="K36" s="491"/>
      <c r="L36" s="492"/>
      <c r="M36" s="491"/>
      <c r="N36" s="493"/>
      <c r="O36" s="491"/>
      <c r="P36" s="492"/>
      <c r="Q36" s="492"/>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F36" s="7"/>
      <c r="BG36" s="7">
        <f>IF(I7&lt;7,"",VLOOKUP(10000000,$BP$37:$BQ$42,2))</f>
      </c>
      <c r="BH36" s="65">
        <f>IF(BG36="","",VLOOKUP(BG36,$BP$19:$BS$19,4))</f>
      </c>
      <c r="BK36" s="12"/>
      <c r="BL36" s="12"/>
      <c r="BP36" s="12"/>
      <c r="BQ36" s="12"/>
      <c r="BW36" s="1" t="s">
        <v>180</v>
      </c>
    </row>
    <row r="37" spans="1:75" ht="45" customHeight="1" thickBot="1">
      <c r="A37" s="444"/>
      <c r="B37" s="440"/>
      <c r="C37" s="440"/>
      <c r="D37" s="325"/>
      <c r="E37" s="451"/>
      <c r="F37" s="452"/>
      <c r="G37" s="453"/>
      <c r="H37" s="454"/>
      <c r="I37" s="447"/>
      <c r="J37" s="448"/>
      <c r="K37" s="449"/>
      <c r="L37" s="450"/>
      <c r="M37" s="449"/>
      <c r="N37" s="448"/>
      <c r="O37" s="449"/>
      <c r="P37" s="450"/>
      <c r="Q37" s="450"/>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F37" s="7"/>
      <c r="BG37" s="7">
        <f>IF(I7&lt;7,"",VLOOKUP(10000000,$BT$52:$BU$57,2))</f>
      </c>
      <c r="BH37" s="73">
        <f>IF(BG37="","",VLOOKUP(BG37,$BQ$52:$BT$57,4))</f>
      </c>
      <c r="BK37" s="12"/>
      <c r="BL37" s="12"/>
      <c r="BQ37" s="12"/>
      <c r="BR37" s="7"/>
      <c r="BW37" s="1" t="s">
        <v>181</v>
      </c>
    </row>
    <row r="38" spans="1:75" ht="45" customHeight="1" thickBot="1">
      <c r="A38" s="444"/>
      <c r="B38" s="440"/>
      <c r="C38" s="440"/>
      <c r="D38" s="326"/>
      <c r="E38" s="455"/>
      <c r="F38" s="456"/>
      <c r="G38" s="457"/>
      <c r="H38" s="458"/>
      <c r="I38" s="447"/>
      <c r="J38" s="448"/>
      <c r="K38" s="449"/>
      <c r="L38" s="450"/>
      <c r="M38" s="449"/>
      <c r="N38" s="448"/>
      <c r="O38" s="449"/>
      <c r="P38" s="450"/>
      <c r="Q38" s="450"/>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F38" s="7"/>
      <c r="BG38" s="65"/>
      <c r="BJ38" s="12"/>
      <c r="BK38" s="12"/>
      <c r="BP38" s="12"/>
      <c r="BQ38" s="7"/>
      <c r="BW38" s="1" t="s">
        <v>182</v>
      </c>
    </row>
    <row r="39" spans="1:75" ht="45" customHeight="1" thickBot="1">
      <c r="A39" s="444"/>
      <c r="B39" s="440"/>
      <c r="C39" s="440"/>
      <c r="D39" s="326"/>
      <c r="E39" s="455"/>
      <c r="F39" s="456"/>
      <c r="G39" s="457"/>
      <c r="H39" s="458"/>
      <c r="I39" s="447"/>
      <c r="J39" s="448"/>
      <c r="K39" s="449"/>
      <c r="L39" s="450"/>
      <c r="M39" s="449"/>
      <c r="N39" s="448"/>
      <c r="O39" s="449"/>
      <c r="P39" s="450"/>
      <c r="Q39" s="450"/>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G39" s="65"/>
      <c r="BJ39" s="12"/>
      <c r="BK39" s="12"/>
      <c r="BP39" s="12"/>
      <c r="BQ39" s="7"/>
      <c r="BR39" s="12"/>
      <c r="BW39" s="1" t="s">
        <v>183</v>
      </c>
    </row>
    <row r="40" spans="1:75" ht="45" customHeight="1" thickBot="1">
      <c r="A40" s="444"/>
      <c r="B40" s="440"/>
      <c r="C40" s="440"/>
      <c r="D40" s="327"/>
      <c r="E40" s="455"/>
      <c r="F40" s="456"/>
      <c r="G40" s="459"/>
      <c r="H40" s="458"/>
      <c r="I40" s="447"/>
      <c r="J40" s="448"/>
      <c r="K40" s="449"/>
      <c r="L40" s="450"/>
      <c r="M40" s="449"/>
      <c r="N40" s="448"/>
      <c r="O40" s="449"/>
      <c r="P40" s="450"/>
      <c r="Q40" s="450"/>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G40" s="65"/>
      <c r="BJ40" s="12"/>
      <c r="BK40" s="12"/>
      <c r="BP40" s="12"/>
      <c r="BQ40" s="7"/>
      <c r="BR40" s="12"/>
      <c r="BW40" s="1" t="s">
        <v>184</v>
      </c>
    </row>
    <row r="41" spans="1:75" ht="45" customHeight="1" thickBot="1">
      <c r="A41" s="444"/>
      <c r="B41" s="440"/>
      <c r="C41" s="440"/>
      <c r="D41" s="327"/>
      <c r="E41" s="455"/>
      <c r="F41" s="456"/>
      <c r="G41" s="459"/>
      <c r="H41" s="458"/>
      <c r="I41" s="447"/>
      <c r="J41" s="448"/>
      <c r="K41" s="449"/>
      <c r="L41" s="450"/>
      <c r="M41" s="449"/>
      <c r="N41" s="448"/>
      <c r="O41" s="449"/>
      <c r="P41" s="450"/>
      <c r="Q41" s="450"/>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G41" s="65"/>
      <c r="BJ41" s="12"/>
      <c r="BK41" s="12"/>
      <c r="BP41" s="12"/>
      <c r="BQ41" s="7"/>
      <c r="BR41" s="12"/>
      <c r="BW41" s="1" t="s">
        <v>185</v>
      </c>
    </row>
    <row r="42" spans="1:75" ht="45" customHeight="1" thickBot="1">
      <c r="A42" s="444"/>
      <c r="B42" s="440"/>
      <c r="C42" s="440"/>
      <c r="D42" s="327"/>
      <c r="E42" s="455"/>
      <c r="F42" s="456"/>
      <c r="G42" s="459"/>
      <c r="H42" s="458"/>
      <c r="I42" s="447"/>
      <c r="J42" s="448"/>
      <c r="K42" s="449"/>
      <c r="L42" s="450"/>
      <c r="M42" s="449"/>
      <c r="N42" s="448"/>
      <c r="O42" s="449"/>
      <c r="P42" s="450"/>
      <c r="Q42" s="450"/>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G42" s="65"/>
      <c r="BJ42" s="12"/>
      <c r="BK42" s="12"/>
      <c r="BP42" s="12"/>
      <c r="BQ42" s="7"/>
      <c r="BR42" s="12"/>
      <c r="BW42" s="1" t="s">
        <v>186</v>
      </c>
    </row>
    <row r="43" spans="1:75" ht="45" customHeight="1" thickBot="1">
      <c r="A43" s="444"/>
      <c r="B43" s="440"/>
      <c r="C43" s="440"/>
      <c r="D43" s="327"/>
      <c r="E43" s="455"/>
      <c r="F43" s="456"/>
      <c r="G43" s="459"/>
      <c r="H43" s="458"/>
      <c r="I43" s="447"/>
      <c r="J43" s="448"/>
      <c r="K43" s="449"/>
      <c r="L43" s="450"/>
      <c r="M43" s="449"/>
      <c r="N43" s="448"/>
      <c r="O43" s="449"/>
      <c r="P43" s="450"/>
      <c r="Q43" s="450"/>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G43" s="65"/>
      <c r="BJ43" s="12"/>
      <c r="BK43" s="12"/>
      <c r="BP43" s="12"/>
      <c r="BR43" s="12"/>
      <c r="BW43" s="1" t="s">
        <v>187</v>
      </c>
    </row>
    <row r="44" spans="1:75" ht="45" customHeight="1" thickBot="1">
      <c r="A44" s="444"/>
      <c r="B44" s="440"/>
      <c r="C44" s="440"/>
      <c r="D44" s="327"/>
      <c r="E44" s="455"/>
      <c r="F44" s="456"/>
      <c r="G44" s="459"/>
      <c r="H44" s="458"/>
      <c r="I44" s="447"/>
      <c r="J44" s="448"/>
      <c r="K44" s="449"/>
      <c r="L44" s="450"/>
      <c r="M44" s="449"/>
      <c r="N44" s="448"/>
      <c r="O44" s="449"/>
      <c r="P44" s="450"/>
      <c r="Q44" s="450"/>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G44" s="65"/>
      <c r="BJ44" s="12"/>
      <c r="BK44" s="12"/>
      <c r="BP44" s="12"/>
      <c r="BW44" s="1" t="s">
        <v>188</v>
      </c>
    </row>
    <row r="45" spans="1:75" ht="45" customHeight="1" thickBot="1">
      <c r="A45" s="444"/>
      <c r="B45" s="440"/>
      <c r="C45" s="440"/>
      <c r="D45" s="327"/>
      <c r="E45" s="455"/>
      <c r="F45" s="456"/>
      <c r="G45" s="459"/>
      <c r="H45" s="458"/>
      <c r="I45" s="447"/>
      <c r="J45" s="448"/>
      <c r="K45" s="449"/>
      <c r="L45" s="450"/>
      <c r="M45" s="449"/>
      <c r="N45" s="448"/>
      <c r="O45" s="449"/>
      <c r="P45" s="450"/>
      <c r="Q45" s="450"/>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G45" s="65"/>
      <c r="BJ45" s="12"/>
      <c r="BK45" s="12"/>
      <c r="BP45" s="12"/>
      <c r="BQ45" s="65"/>
      <c r="BW45" s="1" t="s">
        <v>189</v>
      </c>
    </row>
    <row r="46" spans="1:75" ht="45" customHeight="1" thickBot="1">
      <c r="A46" s="444"/>
      <c r="B46" s="440"/>
      <c r="C46" s="440"/>
      <c r="D46" s="327"/>
      <c r="E46" s="455"/>
      <c r="F46" s="456"/>
      <c r="G46" s="459"/>
      <c r="H46" s="460"/>
      <c r="I46" s="447"/>
      <c r="J46" s="448"/>
      <c r="K46" s="449"/>
      <c r="L46" s="450"/>
      <c r="M46" s="449"/>
      <c r="N46" s="448"/>
      <c r="O46" s="449"/>
      <c r="P46" s="450"/>
      <c r="Q46" s="450"/>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G46" s="65"/>
      <c r="BJ46" s="12"/>
      <c r="BK46" s="12"/>
      <c r="BP46" s="12"/>
      <c r="BQ46" s="65"/>
      <c r="BR46" s="12"/>
      <c r="BW46" s="1" t="s">
        <v>263</v>
      </c>
    </row>
    <row r="47" spans="1:75" ht="45" customHeight="1" thickBot="1">
      <c r="A47" s="444"/>
      <c r="B47" s="440"/>
      <c r="C47" s="440"/>
      <c r="D47" s="327"/>
      <c r="E47" s="455"/>
      <c r="F47" s="456"/>
      <c r="G47" s="459"/>
      <c r="H47" s="460"/>
      <c r="I47" s="447"/>
      <c r="J47" s="448"/>
      <c r="K47" s="449"/>
      <c r="L47" s="450"/>
      <c r="M47" s="449"/>
      <c r="N47" s="448"/>
      <c r="O47" s="449"/>
      <c r="P47" s="450"/>
      <c r="Q47" s="450"/>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G47" s="65"/>
      <c r="BJ47" s="12"/>
      <c r="BK47" s="12"/>
      <c r="BP47" s="12"/>
      <c r="BQ47" s="65"/>
      <c r="BR47" s="12"/>
      <c r="BW47" s="1" t="s">
        <v>264</v>
      </c>
    </row>
    <row r="48" spans="1:75" ht="40.5" customHeight="1">
      <c r="A48" s="18"/>
      <c r="B48" s="111"/>
      <c r="C48" s="185"/>
      <c r="D48" s="180"/>
      <c r="E48" s="18"/>
      <c r="F48" s="328"/>
      <c r="G48" s="328"/>
      <c r="O48" s="250"/>
      <c r="P48" s="18"/>
      <c r="Q48" s="18"/>
      <c r="R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G48" s="65"/>
      <c r="BJ48" s="12"/>
      <c r="BK48" s="12"/>
      <c r="BP48" s="12"/>
      <c r="BQ48" s="65"/>
      <c r="BR48" s="12"/>
      <c r="BW48" s="1" t="s">
        <v>265</v>
      </c>
    </row>
    <row r="49" spans="1:75" ht="40.5" customHeight="1">
      <c r="A49" s="18"/>
      <c r="B49" s="111"/>
      <c r="H49" s="18"/>
      <c r="I49" s="18"/>
      <c r="J49" s="18"/>
      <c r="K49" s="18"/>
      <c r="L49" s="18"/>
      <c r="M49" s="18"/>
      <c r="N49" s="18"/>
      <c r="O49" s="18"/>
      <c r="R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W49" s="1" t="s">
        <v>216</v>
      </c>
    </row>
    <row r="50" spans="1:75" ht="40.5" customHeight="1">
      <c r="A50" s="18"/>
      <c r="B50" s="187"/>
      <c r="H50" s="18"/>
      <c r="I50" s="18"/>
      <c r="J50" s="18"/>
      <c r="K50" s="18"/>
      <c r="L50" s="18"/>
      <c r="M50" s="18"/>
      <c r="N50" s="18"/>
      <c r="O50" s="18"/>
      <c r="R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W50" s="1" t="s">
        <v>217</v>
      </c>
    </row>
    <row r="51" spans="1:75" ht="12.75">
      <c r="A51" s="18"/>
      <c r="B51" s="111"/>
      <c r="H51" s="18"/>
      <c r="I51" s="18"/>
      <c r="J51" s="291" t="s">
        <v>107</v>
      </c>
      <c r="K51" s="291"/>
      <c r="L51" s="239"/>
      <c r="M51" s="239"/>
      <c r="N51" s="239"/>
      <c r="O51" s="239"/>
      <c r="R51" s="18"/>
      <c r="BW51" s="1" t="s">
        <v>218</v>
      </c>
    </row>
    <row r="52" spans="1:75" ht="12.75">
      <c r="A52" s="18"/>
      <c r="B52" s="111">
        <f>IF($G$7&gt;B50,B50+1," ")</f>
        <v>1</v>
      </c>
      <c r="H52" s="18"/>
      <c r="I52" s="18"/>
      <c r="J52" s="291"/>
      <c r="K52" s="291"/>
      <c r="L52" s="290"/>
      <c r="M52" s="290"/>
      <c r="N52" s="290"/>
      <c r="O52" s="290"/>
      <c r="R52" s="18"/>
      <c r="BW52" s="1" t="s">
        <v>219</v>
      </c>
    </row>
    <row r="53" spans="1:75" ht="12.75">
      <c r="A53" s="18"/>
      <c r="B53" s="111">
        <f>B52</f>
        <v>1</v>
      </c>
      <c r="H53" s="18"/>
      <c r="I53" s="18"/>
      <c r="J53" s="18"/>
      <c r="K53" s="18"/>
      <c r="L53" s="18"/>
      <c r="M53" s="18"/>
      <c r="N53" s="18"/>
      <c r="O53" s="18"/>
      <c r="R53" s="18"/>
      <c r="BW53" s="1" t="s">
        <v>220</v>
      </c>
    </row>
    <row r="54" spans="1:75" ht="12.75">
      <c r="A54" s="18"/>
      <c r="B54" s="18"/>
      <c r="BW54" s="1" t="s">
        <v>221</v>
      </c>
    </row>
    <row r="55" spans="1:75" ht="12.75">
      <c r="A55" s="18"/>
      <c r="B55" s="18"/>
      <c r="BW55" s="1" t="s">
        <v>222</v>
      </c>
    </row>
    <row r="56" spans="1:75" ht="12.75">
      <c r="A56" s="18"/>
      <c r="B56" s="18"/>
      <c r="BW56" s="174" t="s">
        <v>190</v>
      </c>
    </row>
    <row r="57" spans="1:75" ht="12.75">
      <c r="A57" s="18"/>
      <c r="B57" s="18"/>
      <c r="BW57" s="1" t="s">
        <v>191</v>
      </c>
    </row>
    <row r="58" ht="12.75">
      <c r="BW58" s="1" t="s">
        <v>192</v>
      </c>
    </row>
    <row r="59" ht="12.75">
      <c r="BW59" s="1" t="s">
        <v>193</v>
      </c>
    </row>
    <row r="60" ht="12.75">
      <c r="BW60" s="1" t="s">
        <v>194</v>
      </c>
    </row>
    <row r="61" ht="12.75">
      <c r="BW61" s="1" t="s">
        <v>195</v>
      </c>
    </row>
    <row r="62" ht="12.75">
      <c r="BW62" s="1" t="s">
        <v>196</v>
      </c>
    </row>
    <row r="63" ht="12.75">
      <c r="BW63" s="1" t="s">
        <v>266</v>
      </c>
    </row>
    <row r="64" ht="12.75">
      <c r="BW64" s="1" t="s">
        <v>267</v>
      </c>
    </row>
    <row r="65" ht="12.75">
      <c r="BW65" s="1" t="s">
        <v>268</v>
      </c>
    </row>
    <row r="66" ht="12.75">
      <c r="BW66" s="1" t="s">
        <v>208</v>
      </c>
    </row>
    <row r="67" ht="12.75">
      <c r="BW67" s="1" t="s">
        <v>209</v>
      </c>
    </row>
    <row r="68" ht="12.75">
      <c r="BW68" s="1" t="s">
        <v>210</v>
      </c>
    </row>
    <row r="69" ht="12.75">
      <c r="BW69" s="1" t="s">
        <v>211</v>
      </c>
    </row>
    <row r="70" ht="12.75">
      <c r="BW70" s="1" t="s">
        <v>212</v>
      </c>
    </row>
    <row r="71" ht="12.75">
      <c r="BW71" s="1" t="s">
        <v>213</v>
      </c>
    </row>
    <row r="72" ht="12.75">
      <c r="BW72" s="1" t="s">
        <v>214</v>
      </c>
    </row>
    <row r="73" ht="12.75">
      <c r="BW73" s="174" t="s">
        <v>224</v>
      </c>
    </row>
    <row r="74" ht="12.75">
      <c r="BW74" s="1" t="s">
        <v>223</v>
      </c>
    </row>
    <row r="75" ht="12.75">
      <c r="BW75" s="1" t="s">
        <v>225</v>
      </c>
    </row>
    <row r="76" ht="12.75">
      <c r="BW76" s="1" t="s">
        <v>226</v>
      </c>
    </row>
    <row r="77" ht="12.75">
      <c r="BW77" s="1" t="s">
        <v>227</v>
      </c>
    </row>
    <row r="78" ht="12.75">
      <c r="BW78" s="1" t="s">
        <v>228</v>
      </c>
    </row>
    <row r="79" ht="12.75">
      <c r="BW79" s="1" t="s">
        <v>229</v>
      </c>
    </row>
    <row r="80" ht="12.75">
      <c r="BW80" s="1" t="s">
        <v>269</v>
      </c>
    </row>
    <row r="81" ht="12.75">
      <c r="BW81" s="1" t="s">
        <v>270</v>
      </c>
    </row>
    <row r="82" ht="12.75">
      <c r="BW82" s="1" t="s">
        <v>271</v>
      </c>
    </row>
    <row r="83" ht="12.75">
      <c r="BW83" s="1" t="s">
        <v>201</v>
      </c>
    </row>
    <row r="84" ht="12.75">
      <c r="BW84" s="1" t="s">
        <v>202</v>
      </c>
    </row>
    <row r="85" ht="12.75">
      <c r="BW85" s="1" t="s">
        <v>203</v>
      </c>
    </row>
    <row r="86" ht="12.75">
      <c r="BW86" s="1" t="s">
        <v>204</v>
      </c>
    </row>
    <row r="87" ht="12.75">
      <c r="BW87" s="1" t="s">
        <v>205</v>
      </c>
    </row>
    <row r="88" ht="12.75">
      <c r="BW88" s="1" t="s">
        <v>206</v>
      </c>
    </row>
    <row r="89" ht="12.75">
      <c r="BW89" s="1" t="s">
        <v>207</v>
      </c>
    </row>
  </sheetData>
  <sheetProtection password="D86C" sheet="1" objects="1" scenarios="1"/>
  <mergeCells count="114">
    <mergeCell ref="J27:K27"/>
    <mergeCell ref="J30:K30"/>
    <mergeCell ref="J15:K15"/>
    <mergeCell ref="J18:K18"/>
    <mergeCell ref="J21:K21"/>
    <mergeCell ref="J24:K24"/>
    <mergeCell ref="D7:E7"/>
    <mergeCell ref="G7:H7"/>
    <mergeCell ref="D8:E8"/>
    <mergeCell ref="G8:H8"/>
    <mergeCell ref="E5:F5"/>
    <mergeCell ref="I5:J5"/>
    <mergeCell ref="L5:M5"/>
    <mergeCell ref="E6:F6"/>
    <mergeCell ref="G6:H6"/>
    <mergeCell ref="I6:J6"/>
    <mergeCell ref="L6:M6"/>
    <mergeCell ref="G5:H5"/>
    <mergeCell ref="F9:H9"/>
    <mergeCell ref="C23:F25"/>
    <mergeCell ref="D12:E12"/>
    <mergeCell ref="E34:H34"/>
    <mergeCell ref="I34:Q34"/>
    <mergeCell ref="A35:C35"/>
    <mergeCell ref="E35:F35"/>
    <mergeCell ref="G35:H35"/>
    <mergeCell ref="I35:J35"/>
    <mergeCell ref="K35:L35"/>
    <mergeCell ref="M35:N35"/>
    <mergeCell ref="O35:Q35"/>
    <mergeCell ref="A36:C36"/>
    <mergeCell ref="E36:F36"/>
    <mergeCell ref="G36:H36"/>
    <mergeCell ref="I36:J36"/>
    <mergeCell ref="K36:L36"/>
    <mergeCell ref="M36:N36"/>
    <mergeCell ref="O36:Q36"/>
    <mergeCell ref="A37:C37"/>
    <mergeCell ref="E37:F37"/>
    <mergeCell ref="G37:H37"/>
    <mergeCell ref="I37:J37"/>
    <mergeCell ref="K37:L37"/>
    <mergeCell ref="M37:N37"/>
    <mergeCell ref="O37:Q37"/>
    <mergeCell ref="A38:C38"/>
    <mergeCell ref="E38:F38"/>
    <mergeCell ref="G38:H38"/>
    <mergeCell ref="I38:J38"/>
    <mergeCell ref="K38:L38"/>
    <mergeCell ref="M38:N38"/>
    <mergeCell ref="O38:Q38"/>
    <mergeCell ref="A39:C39"/>
    <mergeCell ref="E39:F39"/>
    <mergeCell ref="G39:H39"/>
    <mergeCell ref="I39:J39"/>
    <mergeCell ref="K39:L39"/>
    <mergeCell ref="M39:N39"/>
    <mergeCell ref="O39:Q39"/>
    <mergeCell ref="A40:C40"/>
    <mergeCell ref="E40:F40"/>
    <mergeCell ref="G40:H40"/>
    <mergeCell ref="I40:J40"/>
    <mergeCell ref="K40:L40"/>
    <mergeCell ref="M40:N40"/>
    <mergeCell ref="O40:Q40"/>
    <mergeCell ref="A41:C41"/>
    <mergeCell ref="E41:F41"/>
    <mergeCell ref="G41:H41"/>
    <mergeCell ref="I41:J41"/>
    <mergeCell ref="K41:L41"/>
    <mergeCell ref="M41:N41"/>
    <mergeCell ref="O41:Q41"/>
    <mergeCell ref="A42:C42"/>
    <mergeCell ref="E42:F42"/>
    <mergeCell ref="G42:H42"/>
    <mergeCell ref="I42:J42"/>
    <mergeCell ref="K42:L42"/>
    <mergeCell ref="M42:N42"/>
    <mergeCell ref="O42:Q42"/>
    <mergeCell ref="A43:C43"/>
    <mergeCell ref="E43:F43"/>
    <mergeCell ref="G43:H43"/>
    <mergeCell ref="I43:J43"/>
    <mergeCell ref="K43:L43"/>
    <mergeCell ref="M43:N43"/>
    <mergeCell ref="O43:Q43"/>
    <mergeCell ref="A44:C44"/>
    <mergeCell ref="E44:F44"/>
    <mergeCell ref="G44:H44"/>
    <mergeCell ref="I44:J44"/>
    <mergeCell ref="K44:L44"/>
    <mergeCell ref="M44:N44"/>
    <mergeCell ref="O44:Q44"/>
    <mergeCell ref="A45:C45"/>
    <mergeCell ref="E45:F45"/>
    <mergeCell ref="G45:H45"/>
    <mergeCell ref="I45:J45"/>
    <mergeCell ref="K45:L45"/>
    <mergeCell ref="M45:N45"/>
    <mergeCell ref="O45:Q45"/>
    <mergeCell ref="A46:C46"/>
    <mergeCell ref="E46:F46"/>
    <mergeCell ref="G46:H46"/>
    <mergeCell ref="I46:J46"/>
    <mergeCell ref="K46:L46"/>
    <mergeCell ref="M46:N46"/>
    <mergeCell ref="O46:Q46"/>
    <mergeCell ref="A47:C47"/>
    <mergeCell ref="E47:F47"/>
    <mergeCell ref="G47:H47"/>
    <mergeCell ref="I47:J47"/>
    <mergeCell ref="K47:L47"/>
    <mergeCell ref="M47:N47"/>
    <mergeCell ref="O47:Q47"/>
  </mergeCells>
  <dataValidations count="2">
    <dataValidation type="list" allowBlank="1" showInputMessage="1" showErrorMessage="1" sqref="K8">
      <formula1>$BU$4:$BU$16</formula1>
    </dataValidation>
    <dataValidation type="list" allowBlank="1" showInputMessage="1" showErrorMessage="1" sqref="M7">
      <formula1>$BW$4:$BW$88</formula1>
    </dataValidation>
  </dataValidations>
  <printOptions/>
  <pageMargins left="0.25" right="0" top="0.25" bottom="0.38" header="0.5" footer="0.5"/>
  <pageSetup blackAndWhite="1" horizontalDpi="300" verticalDpi="300" orientation="portrait" scale="50" r:id="rId3"/>
  <legacyDrawing r:id="rId2"/>
</worksheet>
</file>

<file path=xl/worksheets/sheet5.xml><?xml version="1.0" encoding="utf-8"?>
<worksheet xmlns="http://schemas.openxmlformats.org/spreadsheetml/2006/main" xmlns:r="http://schemas.openxmlformats.org/officeDocument/2006/relationships">
  <sheetPr codeName="Sheet14">
    <pageSetUpPr fitToPage="1"/>
  </sheetPr>
  <dimension ref="A1:AU178"/>
  <sheetViews>
    <sheetView showGridLines="0" zoomScale="75" zoomScaleNormal="75" workbookViewId="0" topLeftCell="A1">
      <selection activeCell="E5" sqref="E5:G5"/>
    </sheetView>
  </sheetViews>
  <sheetFormatPr defaultColWidth="9.140625" defaultRowHeight="12.75"/>
  <cols>
    <col min="1" max="1" width="4.7109375" style="0" customWidth="1"/>
    <col min="2" max="2" width="3.57421875" style="0" hidden="1" customWidth="1"/>
    <col min="3" max="3" width="6.7109375" style="0" customWidth="1"/>
    <col min="4" max="5" width="12.7109375" style="0" customWidth="1"/>
    <col min="6" max="6" width="13.7109375" style="0" customWidth="1"/>
    <col min="7" max="7" width="7.7109375" style="0" customWidth="1"/>
    <col min="8" max="8" width="11.7109375" style="0" customWidth="1"/>
    <col min="9" max="9" width="8.7109375" style="0" customWidth="1"/>
    <col min="10" max="10" width="11.7109375" style="0" customWidth="1"/>
    <col min="11" max="11" width="14.7109375" style="0" customWidth="1"/>
    <col min="12" max="12" width="17.7109375" style="0" customWidth="1"/>
    <col min="13" max="13" width="13.7109375" style="0" customWidth="1"/>
    <col min="14" max="14" width="10.7109375" style="0" customWidth="1"/>
    <col min="15" max="16" width="13.7109375" style="0" customWidth="1"/>
    <col min="17" max="17" width="11.00390625" style="0" customWidth="1"/>
    <col min="18" max="18" width="3.421875" style="0" hidden="1" customWidth="1"/>
    <col min="19" max="19" width="5.421875" style="0" hidden="1" customWidth="1"/>
    <col min="20" max="20" width="4.8515625" style="0" hidden="1" customWidth="1"/>
    <col min="21" max="21" width="5.28125" style="0" hidden="1" customWidth="1"/>
    <col min="22" max="22" width="8.57421875" style="0" hidden="1" customWidth="1"/>
    <col min="23" max="23" width="10.00390625" style="65" hidden="1" customWidth="1"/>
    <col min="24" max="24" width="6.7109375" style="0" hidden="1" customWidth="1"/>
    <col min="25" max="25" width="13.140625" style="0" hidden="1" customWidth="1"/>
    <col min="26" max="26" width="10.00390625" style="0" hidden="1" customWidth="1"/>
    <col min="27" max="27" width="14.421875" style="65" hidden="1" customWidth="1"/>
    <col min="28" max="28" width="20.28125" style="65" hidden="1" customWidth="1"/>
    <col min="29" max="29" width="6.57421875" style="0" hidden="1" customWidth="1"/>
    <col min="30" max="30" width="0" style="0" hidden="1" customWidth="1"/>
    <col min="31" max="31" width="10.8515625" style="0" hidden="1" customWidth="1"/>
    <col min="32" max="32" width="8.8515625" style="0" hidden="1" customWidth="1"/>
    <col min="33" max="33" width="11.421875" style="0" hidden="1" customWidth="1"/>
    <col min="34" max="34" width="12.57421875" style="0" hidden="1" customWidth="1"/>
    <col min="35" max="35" width="10.7109375" style="0" customWidth="1"/>
    <col min="36" max="36" width="11.57421875" style="65" customWidth="1"/>
    <col min="37" max="37" width="12.28125" style="0" customWidth="1"/>
    <col min="38" max="38" width="27.00390625" style="0" customWidth="1"/>
    <col min="39" max="39" width="8.00390625" style="0" customWidth="1"/>
    <col min="40" max="40" width="14.57421875" style="65" customWidth="1"/>
    <col min="41" max="41" width="8.00390625" style="0" customWidth="1"/>
    <col min="42" max="42" width="9.28125" style="0" customWidth="1"/>
    <col min="43" max="43" width="8.421875" style="0" customWidth="1"/>
    <col min="44" max="44" width="15.00390625" style="0" customWidth="1"/>
    <col min="45" max="45" width="8.57421875" style="0" customWidth="1"/>
    <col min="47" max="47" width="11.7109375" style="0" customWidth="1"/>
    <col min="48" max="48" width="9.57421875" style="0" customWidth="1"/>
  </cols>
  <sheetData>
    <row r="1" spans="1:18" ht="12.75" customHeight="1">
      <c r="A1" s="107"/>
      <c r="B1" s="107"/>
      <c r="C1" s="107"/>
      <c r="D1" s="107"/>
      <c r="E1" s="107"/>
      <c r="F1" s="107"/>
      <c r="G1" s="107"/>
      <c r="H1" s="107"/>
      <c r="I1" s="107"/>
      <c r="J1" s="107"/>
      <c r="K1" s="107"/>
      <c r="L1" s="107"/>
      <c r="M1" s="107"/>
      <c r="N1" s="107"/>
      <c r="O1" s="107"/>
      <c r="P1" s="107"/>
      <c r="Q1" s="107"/>
      <c r="R1" s="30"/>
    </row>
    <row r="2" spans="1:18" ht="22.5" customHeight="1">
      <c r="A2" s="107"/>
      <c r="B2" s="107"/>
      <c r="C2" s="107"/>
      <c r="D2" s="107"/>
      <c r="E2" s="354" t="s">
        <v>306</v>
      </c>
      <c r="F2" s="30"/>
      <c r="G2" s="354"/>
      <c r="H2" s="354"/>
      <c r="I2" s="354"/>
      <c r="J2" s="30"/>
      <c r="K2" s="30"/>
      <c r="L2" s="30"/>
      <c r="M2" s="30"/>
      <c r="N2" s="107"/>
      <c r="O2" s="107" t="s">
        <v>231</v>
      </c>
      <c r="P2" s="107"/>
      <c r="Q2" s="107"/>
      <c r="R2" s="30"/>
    </row>
    <row r="3" spans="1:18" ht="12.75" customHeight="1">
      <c r="A3" s="107"/>
      <c r="B3" s="107"/>
      <c r="C3" s="355"/>
      <c r="D3" s="356">
        <f>Notes!$A$2</f>
        <v>39548</v>
      </c>
      <c r="E3" s="356"/>
      <c r="F3" s="107"/>
      <c r="G3" s="107"/>
      <c r="H3" s="107"/>
      <c r="I3" s="107"/>
      <c r="J3" s="107"/>
      <c r="K3" s="107"/>
      <c r="L3" s="107"/>
      <c r="M3" s="107"/>
      <c r="N3" s="107"/>
      <c r="O3" s="107"/>
      <c r="P3" s="107"/>
      <c r="Q3" s="107"/>
      <c r="R3" s="30"/>
    </row>
    <row r="4" spans="1:18" ht="12.75" customHeight="1">
      <c r="A4" s="107"/>
      <c r="B4" s="107"/>
      <c r="C4" s="355"/>
      <c r="D4" s="107"/>
      <c r="E4" s="107"/>
      <c r="F4" s="107"/>
      <c r="G4" s="107"/>
      <c r="H4" s="107"/>
      <c r="I4" s="107"/>
      <c r="J4" s="107"/>
      <c r="K4" s="107"/>
      <c r="L4" s="107"/>
      <c r="M4" s="107"/>
      <c r="N4" s="107"/>
      <c r="O4" s="4" t="s">
        <v>33</v>
      </c>
      <c r="P4" s="197"/>
      <c r="Q4" s="107"/>
      <c r="R4" s="30"/>
    </row>
    <row r="5" spans="1:18" ht="15.75" customHeight="1">
      <c r="A5" s="107"/>
      <c r="B5" s="107"/>
      <c r="C5" s="107"/>
      <c r="D5" s="269" t="s">
        <v>0</v>
      </c>
      <c r="E5" s="544"/>
      <c r="F5" s="545"/>
      <c r="G5" s="546"/>
      <c r="H5" s="470" t="s">
        <v>39</v>
      </c>
      <c r="I5" s="471"/>
      <c r="J5" s="550"/>
      <c r="K5" s="550"/>
      <c r="L5" s="8" t="s">
        <v>40</v>
      </c>
      <c r="M5" s="549"/>
      <c r="N5" s="434"/>
      <c r="O5" s="4" t="s">
        <v>41</v>
      </c>
      <c r="P5" s="196"/>
      <c r="Q5" s="107"/>
      <c r="R5" s="30"/>
    </row>
    <row r="6" spans="1:18" ht="12.75" customHeight="1">
      <c r="A6" s="107"/>
      <c r="B6" s="107"/>
      <c r="C6" s="107"/>
      <c r="D6" s="220" t="s">
        <v>2</v>
      </c>
      <c r="E6" s="434"/>
      <c r="F6" s="547"/>
      <c r="G6" s="523"/>
      <c r="H6" s="462" t="s">
        <v>44</v>
      </c>
      <c r="I6" s="551"/>
      <c r="J6" s="548"/>
      <c r="K6" s="548"/>
      <c r="L6" s="107"/>
      <c r="M6" s="6"/>
      <c r="N6" s="107"/>
      <c r="O6" s="4" t="s">
        <v>45</v>
      </c>
      <c r="P6" s="197"/>
      <c r="Q6" s="107"/>
      <c r="R6" s="30"/>
    </row>
    <row r="7" spans="1:18" ht="12.75" customHeight="1">
      <c r="A7" s="107"/>
      <c r="B7" s="107"/>
      <c r="C7" s="107"/>
      <c r="D7" s="461" t="s">
        <v>42</v>
      </c>
      <c r="E7" s="553"/>
      <c r="F7" s="543" t="s">
        <v>47</v>
      </c>
      <c r="G7" s="543"/>
      <c r="H7" s="107"/>
      <c r="I7" s="107"/>
      <c r="J7" s="54"/>
      <c r="K7" s="107"/>
      <c r="L7" s="107"/>
      <c r="M7" s="6"/>
      <c r="N7" s="84"/>
      <c r="O7" s="4" t="s">
        <v>235</v>
      </c>
      <c r="P7" s="196"/>
      <c r="Q7" s="107"/>
      <c r="R7" s="30"/>
    </row>
    <row r="8" spans="1:18" ht="12.75" customHeight="1">
      <c r="A8" s="107"/>
      <c r="B8" s="107"/>
      <c r="C8" s="107"/>
      <c r="D8" s="461" t="s">
        <v>46</v>
      </c>
      <c r="E8" s="462"/>
      <c r="F8" s="434" t="s">
        <v>247</v>
      </c>
      <c r="G8" s="523"/>
      <c r="H8" s="532" t="s">
        <v>50</v>
      </c>
      <c r="I8" s="533"/>
      <c r="J8" s="224"/>
      <c r="K8" s="14" t="s">
        <v>51</v>
      </c>
      <c r="L8" s="200"/>
      <c r="M8" s="15" t="s">
        <v>52</v>
      </c>
      <c r="N8" s="19"/>
      <c r="O8" s="17" t="s">
        <v>53</v>
      </c>
      <c r="P8" s="225"/>
      <c r="Q8" s="107"/>
      <c r="R8" s="30"/>
    </row>
    <row r="9" spans="1:18" ht="12.75" customHeight="1">
      <c r="A9" s="107"/>
      <c r="B9" s="107"/>
      <c r="C9" s="107"/>
      <c r="D9" s="461" t="s">
        <v>49</v>
      </c>
      <c r="E9" s="462"/>
      <c r="F9" s="434" t="s">
        <v>250</v>
      </c>
      <c r="G9" s="523"/>
      <c r="H9" s="532" t="s">
        <v>50</v>
      </c>
      <c r="I9" s="533"/>
      <c r="J9" s="194"/>
      <c r="K9" s="14" t="s">
        <v>51</v>
      </c>
      <c r="L9" s="200"/>
      <c r="M9" s="15" t="s">
        <v>52</v>
      </c>
      <c r="N9" s="19"/>
      <c r="O9" s="21"/>
      <c r="P9" s="22"/>
      <c r="Q9" s="107"/>
      <c r="R9" s="30"/>
    </row>
    <row r="10" spans="1:18" ht="12.75" customHeight="1">
      <c r="A10" s="107"/>
      <c r="B10" s="107"/>
      <c r="C10" s="107"/>
      <c r="D10" s="461" t="s">
        <v>54</v>
      </c>
      <c r="E10" s="462"/>
      <c r="F10" s="434" t="s">
        <v>251</v>
      </c>
      <c r="G10" s="523"/>
      <c r="H10" s="532" t="s">
        <v>50</v>
      </c>
      <c r="I10" s="533"/>
      <c r="J10" s="194"/>
      <c r="K10" s="14" t="s">
        <v>51</v>
      </c>
      <c r="L10" s="200"/>
      <c r="M10" s="15" t="s">
        <v>52</v>
      </c>
      <c r="N10" s="19"/>
      <c r="O10" s="21"/>
      <c r="P10" s="22"/>
      <c r="Q10" s="107"/>
      <c r="R10" s="30"/>
    </row>
    <row r="11" spans="1:18" ht="12.75" customHeight="1">
      <c r="A11" s="107"/>
      <c r="B11" s="107"/>
      <c r="C11" s="107"/>
      <c r="D11" s="461" t="s">
        <v>56</v>
      </c>
      <c r="E11" s="462"/>
      <c r="F11" s="434" t="s">
        <v>252</v>
      </c>
      <c r="G11" s="523"/>
      <c r="H11" s="532" t="s">
        <v>50</v>
      </c>
      <c r="I11" s="533"/>
      <c r="J11" s="194"/>
      <c r="K11" s="14" t="s">
        <v>51</v>
      </c>
      <c r="L11" s="200"/>
      <c r="M11" s="15" t="s">
        <v>52</v>
      </c>
      <c r="N11" s="16"/>
      <c r="O11" s="17" t="s">
        <v>60</v>
      </c>
      <c r="P11" s="226"/>
      <c r="Q11" s="107"/>
      <c r="R11" s="30"/>
    </row>
    <row r="12" spans="1:18" ht="12.75" customHeight="1">
      <c r="A12" s="107"/>
      <c r="B12" s="107"/>
      <c r="C12" s="107"/>
      <c r="D12" s="461" t="s">
        <v>58</v>
      </c>
      <c r="E12" s="462"/>
      <c r="F12" s="434" t="s">
        <v>253</v>
      </c>
      <c r="G12" s="523"/>
      <c r="H12" s="532" t="s">
        <v>50</v>
      </c>
      <c r="I12" s="533"/>
      <c r="J12" s="194"/>
      <c r="K12" s="14" t="s">
        <v>51</v>
      </c>
      <c r="L12" s="200"/>
      <c r="M12" s="15" t="s">
        <v>52</v>
      </c>
      <c r="N12" s="16"/>
      <c r="O12" s="4" t="s">
        <v>63</v>
      </c>
      <c r="P12" s="227"/>
      <c r="Q12" s="107"/>
      <c r="R12" s="30"/>
    </row>
    <row r="13" spans="1:18" ht="12.75" customHeight="1">
      <c r="A13" s="107"/>
      <c r="B13" s="107"/>
      <c r="C13" s="107"/>
      <c r="D13" s="461" t="s">
        <v>61</v>
      </c>
      <c r="E13" s="462"/>
      <c r="F13" s="434" t="s">
        <v>254</v>
      </c>
      <c r="G13" s="523"/>
      <c r="H13" s="532" t="s">
        <v>50</v>
      </c>
      <c r="I13" s="533"/>
      <c r="J13" s="194"/>
      <c r="K13" s="14" t="s">
        <v>51</v>
      </c>
      <c r="L13" s="200"/>
      <c r="M13" s="15" t="s">
        <v>52</v>
      </c>
      <c r="N13" s="16"/>
      <c r="O13" s="4" t="s">
        <v>5</v>
      </c>
      <c r="P13" s="198"/>
      <c r="Q13" s="107"/>
      <c r="R13" s="30"/>
    </row>
    <row r="14" spans="1:18" ht="12.75" customHeight="1">
      <c r="A14" s="107"/>
      <c r="B14" s="107"/>
      <c r="C14" s="107"/>
      <c r="D14" s="461" t="s">
        <v>237</v>
      </c>
      <c r="E14" s="462"/>
      <c r="F14" s="434" t="s">
        <v>255</v>
      </c>
      <c r="G14" s="523"/>
      <c r="H14" s="532" t="s">
        <v>50</v>
      </c>
      <c r="I14" s="533"/>
      <c r="J14" s="194"/>
      <c r="K14" s="14" t="s">
        <v>51</v>
      </c>
      <c r="L14" s="200"/>
      <c r="M14" s="15" t="s">
        <v>52</v>
      </c>
      <c r="N14" s="16"/>
      <c r="O14" s="4"/>
      <c r="P14" s="198"/>
      <c r="Q14" s="107"/>
      <c r="R14" s="30"/>
    </row>
    <row r="15" spans="1:18" ht="12.75" customHeight="1">
      <c r="A15" s="107"/>
      <c r="B15" s="107"/>
      <c r="C15" s="107"/>
      <c r="D15" s="461" t="s">
        <v>238</v>
      </c>
      <c r="E15" s="462"/>
      <c r="F15" s="434" t="s">
        <v>256</v>
      </c>
      <c r="G15" s="523"/>
      <c r="H15" s="532" t="s">
        <v>50</v>
      </c>
      <c r="I15" s="533"/>
      <c r="J15" s="194"/>
      <c r="K15" s="14" t="s">
        <v>51</v>
      </c>
      <c r="L15" s="200"/>
      <c r="M15" s="15" t="s">
        <v>52</v>
      </c>
      <c r="N15" s="16"/>
      <c r="O15" s="4"/>
      <c r="P15" s="198"/>
      <c r="Q15" s="107"/>
      <c r="R15" s="30"/>
    </row>
    <row r="16" spans="1:18" ht="12.75" customHeight="1">
      <c r="A16" s="107"/>
      <c r="B16" s="107"/>
      <c r="C16" s="107"/>
      <c r="D16" s="461" t="s">
        <v>276</v>
      </c>
      <c r="E16" s="462"/>
      <c r="F16" s="434" t="s">
        <v>277</v>
      </c>
      <c r="G16" s="523"/>
      <c r="H16" s="542" t="s">
        <v>50</v>
      </c>
      <c r="I16" s="462"/>
      <c r="J16" s="194"/>
      <c r="K16" s="14" t="s">
        <v>51</v>
      </c>
      <c r="L16" s="200"/>
      <c r="M16" s="15" t="s">
        <v>52</v>
      </c>
      <c r="N16" s="16"/>
      <c r="O16" s="4"/>
      <c r="P16" s="198"/>
      <c r="Q16" s="107"/>
      <c r="R16" s="30"/>
    </row>
    <row r="17" spans="1:18" ht="12.75" customHeight="1">
      <c r="A17" s="107"/>
      <c r="B17" s="107"/>
      <c r="C17" s="107"/>
      <c r="D17" s="461" t="s">
        <v>296</v>
      </c>
      <c r="E17" s="462"/>
      <c r="F17" s="434" t="s">
        <v>278</v>
      </c>
      <c r="G17" s="523"/>
      <c r="H17" s="542" t="s">
        <v>50</v>
      </c>
      <c r="I17" s="462"/>
      <c r="J17" s="194"/>
      <c r="K17" s="14" t="s">
        <v>51</v>
      </c>
      <c r="L17" s="200"/>
      <c r="M17" s="15" t="s">
        <v>52</v>
      </c>
      <c r="N17" s="16"/>
      <c r="O17" s="4"/>
      <c r="P17" s="198"/>
      <c r="Q17" s="107"/>
      <c r="R17" s="30"/>
    </row>
    <row r="18" spans="1:18" ht="12.75" customHeight="1">
      <c r="A18" s="107"/>
      <c r="B18" s="107"/>
      <c r="C18" s="107"/>
      <c r="D18" s="107"/>
      <c r="E18" s="107"/>
      <c r="F18" s="107"/>
      <c r="G18" s="107"/>
      <c r="H18" s="534" t="s">
        <v>66</v>
      </c>
      <c r="I18" s="534"/>
      <c r="J18" s="201"/>
      <c r="K18" s="17" t="s">
        <v>67</v>
      </c>
      <c r="L18" s="25"/>
      <c r="M18" s="15" t="s">
        <v>3</v>
      </c>
      <c r="N18" s="87"/>
      <c r="O18" s="4"/>
      <c r="P18" s="26"/>
      <c r="Q18" s="107"/>
      <c r="R18" s="30"/>
    </row>
    <row r="19" spans="1:18" ht="12.75" customHeight="1">
      <c r="A19" s="107"/>
      <c r="B19" s="107"/>
      <c r="C19" s="107"/>
      <c r="D19" s="107"/>
      <c r="E19" s="107"/>
      <c r="F19" s="107"/>
      <c r="G19" s="107"/>
      <c r="H19" s="534" t="s">
        <v>69</v>
      </c>
      <c r="I19" s="534"/>
      <c r="J19" s="27"/>
      <c r="K19" s="17" t="s">
        <v>70</v>
      </c>
      <c r="L19" s="28"/>
      <c r="M19" s="15" t="s">
        <v>4</v>
      </c>
      <c r="N19" s="199"/>
      <c r="O19" s="4" t="s">
        <v>71</v>
      </c>
      <c r="P19" s="155"/>
      <c r="Q19" s="107"/>
      <c r="R19" s="30"/>
    </row>
    <row r="20" spans="1:18" ht="12.75" customHeight="1">
      <c r="A20" s="107"/>
      <c r="B20" s="107"/>
      <c r="C20" s="107"/>
      <c r="D20" s="107"/>
      <c r="E20" s="107"/>
      <c r="F20" s="107"/>
      <c r="G20" s="107"/>
      <c r="H20" s="84"/>
      <c r="I20" s="107"/>
      <c r="J20" s="474" t="s">
        <v>273</v>
      </c>
      <c r="K20" s="475"/>
      <c r="L20" s="357"/>
      <c r="M20" s="107"/>
      <c r="N20" s="107"/>
      <c r="O20" s="107"/>
      <c r="P20" s="107"/>
      <c r="Q20" s="107"/>
      <c r="R20" s="30"/>
    </row>
    <row r="21" spans="1:30" ht="12.75" customHeight="1">
      <c r="A21" s="107"/>
      <c r="B21" s="107"/>
      <c r="C21" s="107"/>
      <c r="D21" s="107"/>
      <c r="E21" s="107"/>
      <c r="F21" s="107"/>
      <c r="G21" s="107"/>
      <c r="H21" s="107"/>
      <c r="I21" s="107"/>
      <c r="J21" s="107"/>
      <c r="K21" s="107"/>
      <c r="L21" s="107"/>
      <c r="M21" s="107"/>
      <c r="N21" s="107"/>
      <c r="O21" s="107"/>
      <c r="P21" s="107"/>
      <c r="Q21" s="107"/>
      <c r="R21" s="30"/>
      <c r="W21" t="s">
        <v>308</v>
      </c>
      <c r="X21" t="s">
        <v>308</v>
      </c>
      <c r="Y21" s="7" t="s">
        <v>310</v>
      </c>
      <c r="Z21" t="s">
        <v>312</v>
      </c>
      <c r="AA21" s="20" t="s">
        <v>312</v>
      </c>
      <c r="AB21" s="20" t="s">
        <v>37</v>
      </c>
      <c r="AC21" s="7" t="s">
        <v>37</v>
      </c>
      <c r="AD21" t="s">
        <v>37</v>
      </c>
    </row>
    <row r="22" spans="1:30" ht="12.75" customHeight="1">
      <c r="A22" s="107"/>
      <c r="B22" s="107"/>
      <c r="C22" s="212"/>
      <c r="D22" s="333"/>
      <c r="E22" s="213"/>
      <c r="F22" s="311" t="s">
        <v>75</v>
      </c>
      <c r="G22" s="311" t="s">
        <v>34</v>
      </c>
      <c r="H22" s="120" t="s">
        <v>76</v>
      </c>
      <c r="I22" s="120" t="s">
        <v>34</v>
      </c>
      <c r="J22" s="120" t="s">
        <v>77</v>
      </c>
      <c r="K22" s="358" t="s">
        <v>42</v>
      </c>
      <c r="L22" s="120" t="s">
        <v>42</v>
      </c>
      <c r="M22" s="311" t="s">
        <v>78</v>
      </c>
      <c r="N22" s="120" t="s">
        <v>76</v>
      </c>
      <c r="O22" s="120" t="s">
        <v>79</v>
      </c>
      <c r="P22" s="120" t="s">
        <v>80</v>
      </c>
      <c r="Q22" s="107"/>
      <c r="R22" s="30"/>
      <c r="W22" t="s">
        <v>37</v>
      </c>
      <c r="X22" t="s">
        <v>37</v>
      </c>
      <c r="Y22" s="7" t="s">
        <v>311</v>
      </c>
      <c r="Z22" t="s">
        <v>37</v>
      </c>
      <c r="AA22" s="20" t="s">
        <v>37</v>
      </c>
      <c r="AB22" s="20" t="s">
        <v>126</v>
      </c>
      <c r="AC22" s="7" t="s">
        <v>126</v>
      </c>
      <c r="AD22" t="s">
        <v>310</v>
      </c>
    </row>
    <row r="23" spans="1:30" ht="12.75" customHeight="1">
      <c r="A23" s="107"/>
      <c r="B23" s="107"/>
      <c r="C23" s="359"/>
      <c r="D23" s="360"/>
      <c r="E23" s="361"/>
      <c r="F23" s="318"/>
      <c r="G23" s="336" t="s">
        <v>82</v>
      </c>
      <c r="H23" s="130" t="s">
        <v>83</v>
      </c>
      <c r="I23" s="130" t="s">
        <v>30</v>
      </c>
      <c r="J23" s="130"/>
      <c r="K23" s="362"/>
      <c r="L23" s="130" t="s">
        <v>84</v>
      </c>
      <c r="M23" s="318" t="s">
        <v>37</v>
      </c>
      <c r="N23" s="130" t="s">
        <v>83</v>
      </c>
      <c r="O23" s="130" t="s">
        <v>85</v>
      </c>
      <c r="P23" s="130" t="s">
        <v>37</v>
      </c>
      <c r="Q23" s="107"/>
      <c r="R23" s="30"/>
      <c r="V23" t="s">
        <v>307</v>
      </c>
      <c r="W23" s="65" t="s">
        <v>302</v>
      </c>
      <c r="X23" t="s">
        <v>309</v>
      </c>
      <c r="Z23" t="s">
        <v>302</v>
      </c>
      <c r="AA23" s="20" t="s">
        <v>126</v>
      </c>
      <c r="AB23" s="20" t="s">
        <v>302</v>
      </c>
      <c r="AC23" s="7" t="s">
        <v>313</v>
      </c>
      <c r="AD23" t="s">
        <v>314</v>
      </c>
    </row>
    <row r="24" spans="1:30" ht="15">
      <c r="A24" s="107"/>
      <c r="B24" s="21" t="s">
        <v>87</v>
      </c>
      <c r="C24" s="237" t="s">
        <v>34</v>
      </c>
      <c r="D24" s="4" t="s">
        <v>280</v>
      </c>
      <c r="E24" s="4"/>
      <c r="F24" s="294"/>
      <c r="G24" s="363"/>
      <c r="H24" s="167"/>
      <c r="I24" s="56"/>
      <c r="J24" s="42"/>
      <c r="K24" s="4"/>
      <c r="L24" s="130"/>
      <c r="M24" s="364"/>
      <c r="N24" s="167"/>
      <c r="O24" s="365"/>
      <c r="P24" s="366"/>
      <c r="Q24" s="107"/>
      <c r="R24" s="30"/>
      <c r="V24">
        <f>$E$24</f>
        <v>0</v>
      </c>
      <c r="W24" s="167">
        <f>'random numbers'!B158</f>
        <v>0.20802223682403564</v>
      </c>
      <c r="X24" t="str">
        <f>IF(W24&lt;0.5,"Y","N")</f>
        <v>Y</v>
      </c>
      <c r="Y24" t="str">
        <f>IF(X24="Y",CONCATENATE(V24," (test comp.)"),V24)</f>
        <v>0 (test comp.)</v>
      </c>
      <c r="Z24" s="167">
        <f>'random numbers'!B190</f>
        <v>0.9055339097976685</v>
      </c>
      <c r="AA24" s="302">
        <f>IF(Z24&lt;0.5,(($N$19/2)-2),(($N$19/2)+2))</f>
        <v>2</v>
      </c>
      <c r="AB24" s="304">
        <f>N24</f>
        <v>0</v>
      </c>
      <c r="AC24" s="303">
        <f>(($N$19-1)*AB24)+0.5</f>
        <v>0.5</v>
      </c>
      <c r="AD24">
        <f>IF(M24=M26,AA24,AC24)</f>
        <v>2</v>
      </c>
    </row>
    <row r="25" spans="1:30" ht="15">
      <c r="A25" s="107"/>
      <c r="B25" s="21">
        <v>1</v>
      </c>
      <c r="C25" s="338"/>
      <c r="D25" s="4" t="s">
        <v>280</v>
      </c>
      <c r="E25" s="4"/>
      <c r="F25" s="294"/>
      <c r="G25" s="367"/>
      <c r="H25" s="167"/>
      <c r="I25" s="47"/>
      <c r="J25" s="42"/>
      <c r="K25" s="4"/>
      <c r="L25" s="130"/>
      <c r="M25" s="364"/>
      <c r="N25" s="167"/>
      <c r="O25" s="365"/>
      <c r="P25" s="366"/>
      <c r="Q25" s="107"/>
      <c r="R25" s="30"/>
      <c r="V25">
        <f>$E$25</f>
        <v>0</v>
      </c>
      <c r="X25" t="str">
        <f>IF(W24&gt;0.5,"Y","N")</f>
        <v>N</v>
      </c>
      <c r="Y25">
        <f>IF(X25="Y",CONCATENATE(V25," (test comp.)"),V25)</f>
        <v>0</v>
      </c>
      <c r="AA25" s="302">
        <f>IF(Z24&gt;=0.5,(($N$19/2)-2),(($N$19/2)+2))</f>
        <v>-2</v>
      </c>
      <c r="AB25" s="304">
        <f>N25</f>
        <v>0</v>
      </c>
      <c r="AC25" s="303">
        <f>(($N$19-1)*AB25)+0.5</f>
        <v>0.5</v>
      </c>
      <c r="AD25">
        <f>IF(M25=M26,AA25,AC25)</f>
        <v>-2</v>
      </c>
    </row>
    <row r="26" spans="1:29" ht="15">
      <c r="A26" s="107"/>
      <c r="B26" s="21"/>
      <c r="C26" s="228"/>
      <c r="D26" s="4" t="s">
        <v>279</v>
      </c>
      <c r="E26" s="461"/>
      <c r="F26" s="462"/>
      <c r="G26" s="298"/>
      <c r="H26" s="167"/>
      <c r="I26" s="42"/>
      <c r="J26" s="42"/>
      <c r="K26" s="4"/>
      <c r="L26" s="130"/>
      <c r="M26" s="364"/>
      <c r="N26" s="167"/>
      <c r="O26" s="365"/>
      <c r="P26" s="366"/>
      <c r="Q26" s="107"/>
      <c r="R26" s="30"/>
      <c r="AA26" s="302"/>
      <c r="AB26" s="304"/>
      <c r="AC26" s="303"/>
    </row>
    <row r="27" spans="1:30" ht="15">
      <c r="A27" s="107"/>
      <c r="B27" s="21">
        <v>1</v>
      </c>
      <c r="C27" s="237" t="s">
        <v>34</v>
      </c>
      <c r="D27" s="4" t="s">
        <v>280</v>
      </c>
      <c r="E27" s="4"/>
      <c r="F27" s="294"/>
      <c r="G27" s="363"/>
      <c r="H27" s="167"/>
      <c r="I27" s="42"/>
      <c r="J27" s="42"/>
      <c r="K27" s="4"/>
      <c r="L27" s="130"/>
      <c r="M27" s="364"/>
      <c r="N27" s="167"/>
      <c r="O27" s="365"/>
      <c r="P27" s="366"/>
      <c r="Q27" s="107"/>
      <c r="R27" s="30"/>
      <c r="V27">
        <f>E27</f>
        <v>0</v>
      </c>
      <c r="W27" s="167">
        <f>'random numbers'!B159</f>
        <v>0.27874642610549927</v>
      </c>
      <c r="X27" t="str">
        <f>IF(W27&lt;0.5,"Y","N")</f>
        <v>Y</v>
      </c>
      <c r="Y27" t="str">
        <f>IF(X27="Y",CONCATENATE(V27," (test comp.)"),V27)</f>
        <v>0 (test comp.)</v>
      </c>
      <c r="Z27" s="167">
        <f>'random numbers'!B191</f>
        <v>0.34346848726272583</v>
      </c>
      <c r="AA27" s="302">
        <f>IF(Z27&lt;0.5,(($N$19/2)-2),(($N$19/2)+2))</f>
        <v>-2</v>
      </c>
      <c r="AB27" s="304">
        <f>N27</f>
        <v>0</v>
      </c>
      <c r="AC27" s="303">
        <f>(($N$19-1)*AB27)+0.5</f>
        <v>0.5</v>
      </c>
      <c r="AD27">
        <f>IF(M27=M29,AA27,AC27)</f>
        <v>-2</v>
      </c>
    </row>
    <row r="28" spans="1:30" ht="15">
      <c r="A28" s="107"/>
      <c r="B28" s="107"/>
      <c r="C28" s="343">
        <f>IF($L$18&gt;B27,C25+1,"")</f>
      </c>
      <c r="D28" s="4" t="s">
        <v>280</v>
      </c>
      <c r="E28" s="4"/>
      <c r="F28" s="294"/>
      <c r="G28" s="367"/>
      <c r="H28" s="167"/>
      <c r="I28" s="42"/>
      <c r="J28" s="42"/>
      <c r="K28" s="4"/>
      <c r="L28" s="130"/>
      <c r="M28" s="364"/>
      <c r="N28" s="167"/>
      <c r="O28" s="365"/>
      <c r="P28" s="366"/>
      <c r="Q28" s="107"/>
      <c r="R28" s="30"/>
      <c r="V28">
        <f>E28</f>
        <v>0</v>
      </c>
      <c r="X28" t="str">
        <f>IF(W27&gt;0.5,"Y","N")</f>
        <v>N</v>
      </c>
      <c r="Y28">
        <f>IF(X28="Y",CONCATENATE(V28," (test comp.)"),V28)</f>
        <v>0</v>
      </c>
      <c r="AA28" s="302">
        <f>IF(Z27&gt;=0.5,(($N$19/2)-2),(($N$19/2)+2))</f>
        <v>2</v>
      </c>
      <c r="AB28" s="304">
        <f>N28</f>
        <v>0</v>
      </c>
      <c r="AC28" s="303">
        <f>(($N$19-1)*AB28)+0.5</f>
        <v>0.5</v>
      </c>
      <c r="AD28">
        <f>IF(M28=M29,AA28,AC28)</f>
        <v>2</v>
      </c>
    </row>
    <row r="29" spans="1:29" ht="15">
      <c r="A29" s="107"/>
      <c r="B29" s="107"/>
      <c r="C29" s="206"/>
      <c r="D29" s="4" t="s">
        <v>279</v>
      </c>
      <c r="E29" s="461"/>
      <c r="F29" s="462"/>
      <c r="G29" s="298"/>
      <c r="H29" s="167"/>
      <c r="I29" s="42"/>
      <c r="J29" s="42"/>
      <c r="K29" s="4"/>
      <c r="L29" s="130"/>
      <c r="M29" s="364"/>
      <c r="N29" s="167"/>
      <c r="O29" s="365"/>
      <c r="P29" s="366"/>
      <c r="Q29" s="107"/>
      <c r="R29" s="30"/>
      <c r="AA29" s="302"/>
      <c r="AB29" s="304"/>
      <c r="AC29" s="303"/>
    </row>
    <row r="30" spans="1:30" ht="15">
      <c r="A30" s="107"/>
      <c r="B30" s="21">
        <f>IF($K$18&gt;B27,B27+1," ")</f>
        <v>2</v>
      </c>
      <c r="C30" s="237" t="s">
        <v>34</v>
      </c>
      <c r="D30" s="4" t="s">
        <v>280</v>
      </c>
      <c r="E30" s="4"/>
      <c r="F30" s="294"/>
      <c r="G30" s="363"/>
      <c r="H30" s="167"/>
      <c r="I30" s="42"/>
      <c r="J30" s="42"/>
      <c r="K30" s="4"/>
      <c r="L30" s="130"/>
      <c r="M30" s="364"/>
      <c r="N30" s="167"/>
      <c r="O30" s="365"/>
      <c r="P30" s="366"/>
      <c r="Q30" s="107"/>
      <c r="R30" s="30"/>
      <c r="V30">
        <f>E30</f>
        <v>0</v>
      </c>
      <c r="W30" s="167">
        <f>'random numbers'!B160</f>
        <v>0.3321530818939209</v>
      </c>
      <c r="X30" t="str">
        <f>IF(W30&lt;0.5,"Y","N")</f>
        <v>Y</v>
      </c>
      <c r="Y30" t="str">
        <f>IF(X30="Y",CONCATENATE(V30," (test comp.)"),V30)</f>
        <v>0 (test comp.)</v>
      </c>
      <c r="Z30" s="167">
        <f>'random numbers'!B192</f>
        <v>0.02966475486755371</v>
      </c>
      <c r="AA30" s="302">
        <f>IF(Z30&lt;0.5,(($N$19/2)-2),(($N$19/2)+2))</f>
        <v>-2</v>
      </c>
      <c r="AB30" s="304">
        <f>N30</f>
        <v>0</v>
      </c>
      <c r="AC30" s="303">
        <f>(($N$19-1)*AB30)+0.5</f>
        <v>0.5</v>
      </c>
      <c r="AD30">
        <f>IF(M30=M32,AA30,AC30)</f>
        <v>-2</v>
      </c>
    </row>
    <row r="31" spans="1:30" ht="15">
      <c r="A31" s="107"/>
      <c r="B31" s="21">
        <f>B30</f>
        <v>2</v>
      </c>
      <c r="C31" s="343">
        <f>IF($L$18&gt;B31,C28+1,"")</f>
      </c>
      <c r="D31" s="4" t="s">
        <v>280</v>
      </c>
      <c r="E31" s="4"/>
      <c r="F31" s="294"/>
      <c r="G31" s="367"/>
      <c r="H31" s="167"/>
      <c r="I31" s="47"/>
      <c r="J31" s="42"/>
      <c r="K31" s="4"/>
      <c r="L31" s="130"/>
      <c r="M31" s="364"/>
      <c r="N31" s="167"/>
      <c r="O31" s="365"/>
      <c r="P31" s="366"/>
      <c r="Q31" s="107"/>
      <c r="R31" s="30"/>
      <c r="V31">
        <f>E31</f>
        <v>0</v>
      </c>
      <c r="X31" t="str">
        <f>IF(W30&gt;0.5,"Y","N")</f>
        <v>N</v>
      </c>
      <c r="Y31">
        <f>IF(X31="Y",CONCATENATE(V31," (test comp.)"),V31)</f>
        <v>0</v>
      </c>
      <c r="AA31" s="302">
        <f>IF(Z30&gt;=0.5,(($N$19/2)-2),(($N$19/2)+2))</f>
        <v>2</v>
      </c>
      <c r="AB31" s="304">
        <f>N31</f>
        <v>0</v>
      </c>
      <c r="AC31" s="303">
        <f>(($N$19-1)*AB31)+0.5</f>
        <v>0.5</v>
      </c>
      <c r="AD31">
        <f>IF(M31=M32,AA31,AC31)</f>
        <v>2</v>
      </c>
    </row>
    <row r="32" spans="1:29" ht="15">
      <c r="A32" s="107"/>
      <c r="B32" s="21"/>
      <c r="C32" s="206"/>
      <c r="D32" s="4" t="s">
        <v>279</v>
      </c>
      <c r="E32" s="461"/>
      <c r="F32" s="462"/>
      <c r="G32" s="298"/>
      <c r="H32" s="167"/>
      <c r="I32" s="47"/>
      <c r="J32" s="42"/>
      <c r="K32" s="4"/>
      <c r="L32" s="130"/>
      <c r="M32" s="364"/>
      <c r="N32" s="167"/>
      <c r="O32" s="365"/>
      <c r="P32" s="366"/>
      <c r="Q32" s="107"/>
      <c r="R32" s="30"/>
      <c r="AA32" s="302"/>
      <c r="AB32" s="304"/>
      <c r="AC32" s="303"/>
    </row>
    <row r="33" spans="1:30" ht="15">
      <c r="A33" s="107"/>
      <c r="B33" s="107"/>
      <c r="C33" s="237" t="s">
        <v>34</v>
      </c>
      <c r="D33" s="4" t="s">
        <v>280</v>
      </c>
      <c r="E33" s="4"/>
      <c r="F33" s="294"/>
      <c r="G33" s="363"/>
      <c r="H33" s="167"/>
      <c r="I33" s="47"/>
      <c r="J33" s="42"/>
      <c r="K33" s="4"/>
      <c r="L33" s="130"/>
      <c r="M33" s="364"/>
      <c r="N33" s="167"/>
      <c r="O33" s="365"/>
      <c r="P33" s="366"/>
      <c r="Q33" s="107"/>
      <c r="R33" s="30"/>
      <c r="V33">
        <f>E33</f>
        <v>0</v>
      </c>
      <c r="W33" s="167">
        <f>'random numbers'!B161</f>
        <v>0.171933114528656</v>
      </c>
      <c r="X33" t="str">
        <f>IF(W33&lt;0.5,"Y","N")</f>
        <v>Y</v>
      </c>
      <c r="Y33" t="str">
        <f>IF(X33="Y",CONCATENATE(V33," (test comp.)"),V33)</f>
        <v>0 (test comp.)</v>
      </c>
      <c r="Z33" s="167">
        <f>'random numbers'!B193</f>
        <v>0.23665517568588257</v>
      </c>
      <c r="AA33" s="302">
        <f>IF(Z33&lt;0.5,(($N$19/2)-2),(($N$19/2)+2))</f>
        <v>-2</v>
      </c>
      <c r="AB33" s="304">
        <f>N33</f>
        <v>0</v>
      </c>
      <c r="AC33" s="303">
        <f>(($N$19-1)*AB33)+0.5</f>
        <v>0.5</v>
      </c>
      <c r="AD33">
        <f>IF(M33=M35,AA33,AC33)</f>
        <v>-2</v>
      </c>
    </row>
    <row r="34" spans="1:30" ht="15">
      <c r="A34" s="107"/>
      <c r="B34" s="21">
        <f>IF($K$18&gt;B31,B31+1," ")</f>
        <v>3</v>
      </c>
      <c r="C34" s="343">
        <f>IF($L$18&gt;B36,C31+1,"")</f>
      </c>
      <c r="D34" s="4" t="s">
        <v>280</v>
      </c>
      <c r="E34" s="4"/>
      <c r="F34" s="294"/>
      <c r="G34" s="367"/>
      <c r="H34" s="167"/>
      <c r="I34" s="47"/>
      <c r="J34" s="42"/>
      <c r="K34" s="4"/>
      <c r="L34" s="130"/>
      <c r="M34" s="364"/>
      <c r="N34" s="167"/>
      <c r="O34" s="365"/>
      <c r="P34" s="366"/>
      <c r="Q34" s="107"/>
      <c r="R34" s="30"/>
      <c r="V34">
        <f>E34</f>
        <v>0</v>
      </c>
      <c r="X34" t="str">
        <f>IF(W33&gt;0.5,"Y","N")</f>
        <v>N</v>
      </c>
      <c r="Y34">
        <f>IF(X34="Y",CONCATENATE(V34," (test comp.)"),V34)</f>
        <v>0</v>
      </c>
      <c r="AA34" s="302">
        <f>IF(Z33&gt;=0.5,(($N$19/2)-2),(($N$19/2)+2))</f>
        <v>2</v>
      </c>
      <c r="AB34" s="304">
        <f>N34</f>
        <v>0</v>
      </c>
      <c r="AC34" s="303">
        <f>(($N$19-1)*AB34)+0.5</f>
        <v>0.5</v>
      </c>
      <c r="AD34">
        <f>IF(M34=M35,AA34,AC34)</f>
        <v>2</v>
      </c>
    </row>
    <row r="35" spans="1:29" ht="15">
      <c r="A35" s="107"/>
      <c r="B35" s="21"/>
      <c r="C35" s="206"/>
      <c r="D35" s="4" t="s">
        <v>279</v>
      </c>
      <c r="E35" s="461"/>
      <c r="F35" s="462"/>
      <c r="G35" s="298"/>
      <c r="H35" s="167"/>
      <c r="I35" s="47"/>
      <c r="J35" s="42"/>
      <c r="K35" s="4"/>
      <c r="L35" s="130"/>
      <c r="M35" s="364"/>
      <c r="N35" s="167"/>
      <c r="O35" s="365"/>
      <c r="P35" s="366"/>
      <c r="Q35" s="107"/>
      <c r="R35" s="30"/>
      <c r="AA35" s="302"/>
      <c r="AB35" s="304"/>
      <c r="AC35" s="303"/>
    </row>
    <row r="36" spans="1:30" ht="15">
      <c r="A36" s="107"/>
      <c r="B36" s="21">
        <f>B34</f>
        <v>3</v>
      </c>
      <c r="C36" s="237" t="s">
        <v>34</v>
      </c>
      <c r="D36" s="4" t="s">
        <v>280</v>
      </c>
      <c r="E36" s="4"/>
      <c r="F36" s="294"/>
      <c r="G36" s="368"/>
      <c r="H36" s="167"/>
      <c r="I36" s="47"/>
      <c r="J36" s="42"/>
      <c r="K36" s="4"/>
      <c r="L36" s="130"/>
      <c r="M36" s="364"/>
      <c r="N36" s="167"/>
      <c r="O36" s="365"/>
      <c r="P36" s="366"/>
      <c r="Q36" s="107"/>
      <c r="R36" s="30"/>
      <c r="V36" s="53">
        <f>E36</f>
        <v>0</v>
      </c>
      <c r="W36" s="305">
        <f>'random numbers'!B162</f>
        <v>0.6525930166244507</v>
      </c>
      <c r="X36" t="str">
        <f>IF(W36&lt;0.5,"Y","N")</f>
        <v>N</v>
      </c>
      <c r="Y36">
        <f>IF(X36="Y",CONCATENATE(V36," (test comp.)"),V36)</f>
        <v>0</v>
      </c>
      <c r="Z36" s="167">
        <f>'random numbers'!B194</f>
        <v>0.3501046895980835</v>
      </c>
      <c r="AA36" s="302">
        <f>IF(Z36&lt;0.5,(($N$19/2)-2),(($N$19/2)+2))</f>
        <v>-2</v>
      </c>
      <c r="AB36" s="304">
        <f>N36</f>
        <v>0</v>
      </c>
      <c r="AC36" s="303">
        <f>(($N$19-1)*AB36)+0.5</f>
        <v>0.5</v>
      </c>
      <c r="AD36">
        <f>IF(M36=M38,AA36,AC36)</f>
        <v>-2</v>
      </c>
    </row>
    <row r="37" spans="1:30" ht="15">
      <c r="A37" s="107"/>
      <c r="B37" s="107"/>
      <c r="C37" s="343">
        <f>IF($L$18&gt;B40,C34+1,"")</f>
      </c>
      <c r="D37" s="4" t="s">
        <v>280</v>
      </c>
      <c r="E37" s="4"/>
      <c r="F37" s="294"/>
      <c r="G37" s="369"/>
      <c r="H37" s="167"/>
      <c r="I37" s="47"/>
      <c r="J37" s="42"/>
      <c r="K37" s="4"/>
      <c r="L37" s="130"/>
      <c r="M37" s="364"/>
      <c r="N37" s="167"/>
      <c r="O37" s="365"/>
      <c r="P37" s="366"/>
      <c r="Q37" s="107"/>
      <c r="R37" s="30"/>
      <c r="V37" s="53">
        <f>E37</f>
        <v>0</v>
      </c>
      <c r="X37" t="str">
        <f>IF(W36&gt;0.5,"Y","N")</f>
        <v>Y</v>
      </c>
      <c r="Y37" t="str">
        <f>IF(X37="Y",CONCATENATE(V37," (test comp.)"),V37)</f>
        <v>0 (test comp.)</v>
      </c>
      <c r="AA37" s="302">
        <f>IF(Z36&gt;=0.5,(($N$19/2)-2),(($N$19/2)+2))</f>
        <v>2</v>
      </c>
      <c r="AB37" s="304">
        <f>N37</f>
        <v>0</v>
      </c>
      <c r="AC37" s="303">
        <f>(($N$19-1)*AB37)+0.5</f>
        <v>0.5</v>
      </c>
      <c r="AD37">
        <f>IF(M37=M38,AA37,AC37)</f>
        <v>2</v>
      </c>
    </row>
    <row r="38" spans="1:29" ht="15">
      <c r="A38" s="107"/>
      <c r="B38" s="107"/>
      <c r="C38" s="206"/>
      <c r="D38" s="4" t="s">
        <v>279</v>
      </c>
      <c r="E38" s="461"/>
      <c r="F38" s="462"/>
      <c r="G38" s="369"/>
      <c r="H38" s="167"/>
      <c r="I38" s="47"/>
      <c r="J38" s="42"/>
      <c r="K38" s="4"/>
      <c r="L38" s="130"/>
      <c r="M38" s="364"/>
      <c r="N38" s="167"/>
      <c r="O38" s="365"/>
      <c r="P38" s="366"/>
      <c r="Q38" s="107"/>
      <c r="R38" s="30"/>
      <c r="AA38" s="302"/>
      <c r="AB38" s="304"/>
      <c r="AC38" s="303"/>
    </row>
    <row r="39" spans="1:30" ht="15">
      <c r="A39" s="107"/>
      <c r="B39" s="21">
        <f>IF($K$18&gt;B36,B36+1," ")</f>
        <v>4</v>
      </c>
      <c r="C39" s="237" t="s">
        <v>34</v>
      </c>
      <c r="D39" s="4" t="s">
        <v>280</v>
      </c>
      <c r="E39" s="4"/>
      <c r="F39" s="294"/>
      <c r="G39" s="363"/>
      <c r="H39" s="167"/>
      <c r="I39" s="47"/>
      <c r="J39" s="42"/>
      <c r="K39" s="4"/>
      <c r="L39" s="130"/>
      <c r="M39" s="364"/>
      <c r="N39" s="167"/>
      <c r="O39" s="365"/>
      <c r="P39" s="366"/>
      <c r="Q39" s="107"/>
      <c r="R39" s="30"/>
      <c r="V39">
        <f>E39</f>
        <v>0</v>
      </c>
      <c r="W39" s="167">
        <f>'random numbers'!B163</f>
        <v>0.9450340867042542</v>
      </c>
      <c r="X39" t="str">
        <f>IF(W39&lt;0.5,"Y","N")</f>
        <v>N</v>
      </c>
      <c r="Y39">
        <f>IF(X39="Y",CONCATENATE(V39," (test comp.)"),V39)</f>
        <v>0</v>
      </c>
      <c r="Z39" s="167">
        <f>'random numbers'!B195</f>
        <v>0.2753353714942932</v>
      </c>
      <c r="AA39" s="302">
        <f>IF(Z39&lt;0.5,(($N$19/2)-2),(($N$19/2)+2))</f>
        <v>-2</v>
      </c>
      <c r="AB39" s="304">
        <f>N39</f>
        <v>0</v>
      </c>
      <c r="AC39" s="303">
        <f>(($N$19-1)*AB39)+0.5</f>
        <v>0.5</v>
      </c>
      <c r="AD39">
        <f>IF(M39=M41,AA39,AC39)</f>
        <v>-2</v>
      </c>
    </row>
    <row r="40" spans="1:30" ht="15">
      <c r="A40" s="107"/>
      <c r="B40" s="21">
        <f>B39</f>
        <v>4</v>
      </c>
      <c r="C40" s="343">
        <f>IF($L$18&gt;B44,C37+1,"")</f>
      </c>
      <c r="D40" s="4" t="s">
        <v>280</v>
      </c>
      <c r="E40" s="4"/>
      <c r="F40" s="294"/>
      <c r="G40" s="367"/>
      <c r="H40" s="167"/>
      <c r="I40" s="47"/>
      <c r="J40" s="47"/>
      <c r="K40" s="4"/>
      <c r="L40" s="130"/>
      <c r="M40" s="364"/>
      <c r="N40" s="167"/>
      <c r="O40" s="122"/>
      <c r="P40" s="370"/>
      <c r="Q40" s="107"/>
      <c r="R40" s="30"/>
      <c r="V40">
        <f>E40</f>
        <v>0</v>
      </c>
      <c r="X40" t="str">
        <f>IF(W39&gt;0.5,"Y","N")</f>
        <v>Y</v>
      </c>
      <c r="Y40" t="str">
        <f>IF(X40="Y",CONCATENATE(V40," (test comp.)"),V40)</f>
        <v>0 (test comp.)</v>
      </c>
      <c r="AA40" s="302">
        <f>IF(Z39&gt;=0.5,(($N$19/2)-2),(($N$19/2)+2))</f>
        <v>2</v>
      </c>
      <c r="AB40" s="304">
        <f>N40</f>
        <v>0</v>
      </c>
      <c r="AC40" s="303">
        <f>(($N$19-1)*AB40)+0.5</f>
        <v>0.5</v>
      </c>
      <c r="AD40">
        <f>IF(M40=M41,AA40,AC40)</f>
        <v>2</v>
      </c>
    </row>
    <row r="41" spans="1:18" ht="15">
      <c r="A41" s="107"/>
      <c r="B41" s="21"/>
      <c r="C41" s="206"/>
      <c r="D41" s="4" t="s">
        <v>279</v>
      </c>
      <c r="E41" s="461"/>
      <c r="F41" s="462"/>
      <c r="G41" s="298"/>
      <c r="H41" s="167"/>
      <c r="I41" s="47"/>
      <c r="J41" s="47"/>
      <c r="K41" s="4"/>
      <c r="L41" s="4"/>
      <c r="M41" s="364"/>
      <c r="N41" s="167"/>
      <c r="O41" s="122"/>
      <c r="P41" s="370"/>
      <c r="Q41" s="107"/>
      <c r="R41" s="30"/>
    </row>
    <row r="42" spans="1:18" ht="15">
      <c r="A42" s="107"/>
      <c r="B42" s="107"/>
      <c r="C42" s="351"/>
      <c r="D42" s="84"/>
      <c r="E42" s="84"/>
      <c r="F42" s="54"/>
      <c r="G42" s="30"/>
      <c r="H42" s="55"/>
      <c r="I42" s="56"/>
      <c r="J42" s="57"/>
      <c r="K42" s="58"/>
      <c r="L42" s="59"/>
      <c r="M42" s="55"/>
      <c r="N42" s="371"/>
      <c r="O42" s="371"/>
      <c r="P42" s="371"/>
      <c r="Q42" s="107"/>
      <c r="R42" s="30"/>
    </row>
    <row r="43" spans="1:18" ht="18">
      <c r="A43" s="107"/>
      <c r="B43" s="21">
        <f>IF($K$18&gt;B40,B40+1," ")</f>
        <v>5</v>
      </c>
      <c r="C43" s="351"/>
      <c r="D43" s="372" t="s">
        <v>129</v>
      </c>
      <c r="E43" s="373"/>
      <c r="F43" s="373"/>
      <c r="G43" s="374"/>
      <c r="H43" s="375" t="s">
        <v>98</v>
      </c>
      <c r="I43" s="263"/>
      <c r="J43" s="264"/>
      <c r="K43" s="265"/>
      <c r="L43" s="265"/>
      <c r="M43" s="266"/>
      <c r="N43" s="371"/>
      <c r="O43" s="371"/>
      <c r="P43" s="371"/>
      <c r="Q43" s="107"/>
      <c r="R43" s="30"/>
    </row>
    <row r="44" spans="1:18" ht="12.75">
      <c r="A44" s="107"/>
      <c r="B44" s="21">
        <f>B43</f>
        <v>5</v>
      </c>
      <c r="C44" s="107"/>
      <c r="D44" s="542" t="s">
        <v>115</v>
      </c>
      <c r="E44" s="533"/>
      <c r="F44" s="220" t="s">
        <v>34</v>
      </c>
      <c r="G44" s="376"/>
      <c r="H44" s="535"/>
      <c r="I44" s="536"/>
      <c r="J44" s="536"/>
      <c r="K44" s="536"/>
      <c r="L44" s="536"/>
      <c r="M44" s="537"/>
      <c r="N44" s="107"/>
      <c r="O44" s="107"/>
      <c r="P44" s="107"/>
      <c r="Q44" s="107"/>
      <c r="R44" s="30"/>
    </row>
    <row r="45" spans="1:18" ht="12.75">
      <c r="A45" s="107"/>
      <c r="B45" s="377"/>
      <c r="C45" s="107"/>
      <c r="D45" s="461" t="s">
        <v>116</v>
      </c>
      <c r="E45" s="462"/>
      <c r="F45" s="220">
        <v>1</v>
      </c>
      <c r="G45" s="376"/>
      <c r="H45" s="538"/>
      <c r="I45" s="536"/>
      <c r="J45" s="536"/>
      <c r="K45" s="536"/>
      <c r="L45" s="536"/>
      <c r="M45" s="537"/>
      <c r="N45" s="107"/>
      <c r="O45" s="107"/>
      <c r="P45" s="107"/>
      <c r="Q45" s="107"/>
      <c r="R45" s="30"/>
    </row>
    <row r="46" spans="1:18" ht="12.75">
      <c r="A46" s="107"/>
      <c r="B46" s="21">
        <f>IF($K$18&gt;B44,B44+1,"")</f>
        <v>6</v>
      </c>
      <c r="C46" s="107"/>
      <c r="D46" s="461" t="s">
        <v>117</v>
      </c>
      <c r="E46" s="462"/>
      <c r="F46" s="220">
        <v>2</v>
      </c>
      <c r="G46" s="376"/>
      <c r="H46" s="538"/>
      <c r="I46" s="536"/>
      <c r="J46" s="536"/>
      <c r="K46" s="536"/>
      <c r="L46" s="536"/>
      <c r="M46" s="537"/>
      <c r="N46" s="107"/>
      <c r="O46" s="107"/>
      <c r="P46" s="107"/>
      <c r="Q46" s="107"/>
      <c r="R46" s="30"/>
    </row>
    <row r="47" spans="1:18" ht="12.75">
      <c r="A47" s="107"/>
      <c r="B47" s="21">
        <f>B46</f>
        <v>6</v>
      </c>
      <c r="C47" s="107"/>
      <c r="D47" s="461" t="s">
        <v>118</v>
      </c>
      <c r="E47" s="462"/>
      <c r="F47" s="220">
        <v>3</v>
      </c>
      <c r="G47" s="376"/>
      <c r="H47" s="539"/>
      <c r="I47" s="540"/>
      <c r="J47" s="540"/>
      <c r="K47" s="540"/>
      <c r="L47" s="540"/>
      <c r="M47" s="541"/>
      <c r="N47" s="107"/>
      <c r="O47" s="107"/>
      <c r="P47" s="107"/>
      <c r="Q47" s="107"/>
      <c r="R47" s="30"/>
    </row>
    <row r="48" spans="1:18" ht="12.75">
      <c r="A48" s="107"/>
      <c r="B48" s="107"/>
      <c r="C48" s="107"/>
      <c r="D48" s="461" t="s">
        <v>119</v>
      </c>
      <c r="E48" s="462"/>
      <c r="F48" s="220">
        <v>4</v>
      </c>
      <c r="G48" s="376"/>
      <c r="H48" s="107"/>
      <c r="I48" s="107"/>
      <c r="J48" s="107"/>
      <c r="K48" s="107"/>
      <c r="L48" s="107"/>
      <c r="M48" s="107"/>
      <c r="N48" s="107"/>
      <c r="O48" s="107"/>
      <c r="P48" s="107"/>
      <c r="Q48" s="107"/>
      <c r="R48" s="30"/>
    </row>
    <row r="49" spans="1:18" ht="12.75">
      <c r="A49" s="107"/>
      <c r="B49" s="21">
        <f>IF($K$18&gt;B47,B47+1," ")</f>
        <v>7</v>
      </c>
      <c r="C49" s="107"/>
      <c r="D49" s="461" t="s">
        <v>120</v>
      </c>
      <c r="E49" s="462"/>
      <c r="F49" s="220">
        <v>5</v>
      </c>
      <c r="G49" s="376"/>
      <c r="H49" s="107"/>
      <c r="I49" s="107"/>
      <c r="J49" s="107"/>
      <c r="K49" s="107"/>
      <c r="L49" s="107"/>
      <c r="M49" s="107"/>
      <c r="N49" s="107"/>
      <c r="O49" s="107"/>
      <c r="P49" s="107"/>
      <c r="Q49" s="107"/>
      <c r="R49" s="30"/>
    </row>
    <row r="50" spans="1:18" ht="12.75">
      <c r="A50" s="107"/>
      <c r="B50" s="21">
        <f>B49</f>
        <v>7</v>
      </c>
      <c r="C50" s="107"/>
      <c r="D50" s="461" t="s">
        <v>121</v>
      </c>
      <c r="E50" s="462"/>
      <c r="F50" s="220">
        <v>6</v>
      </c>
      <c r="G50" s="376"/>
      <c r="H50" s="107"/>
      <c r="I50" s="107"/>
      <c r="J50" s="107"/>
      <c r="K50" s="531" t="s">
        <v>107</v>
      </c>
      <c r="L50" s="531"/>
      <c r="M50" s="531"/>
      <c r="N50" s="107"/>
      <c r="O50" s="107"/>
      <c r="P50" s="107"/>
      <c r="Q50" s="107"/>
      <c r="R50" s="30"/>
    </row>
    <row r="51" spans="1:18" ht="13.5" customHeight="1" thickBot="1">
      <c r="A51" s="107"/>
      <c r="B51" s="107"/>
      <c r="C51" s="107"/>
      <c r="D51" s="106" t="s">
        <v>122</v>
      </c>
      <c r="E51" s="106"/>
      <c r="F51" s="107"/>
      <c r="G51" s="107"/>
      <c r="H51" s="107"/>
      <c r="I51" s="107"/>
      <c r="J51" s="107"/>
      <c r="K51" s="531"/>
      <c r="L51" s="552"/>
      <c r="M51" s="552"/>
      <c r="N51" s="107"/>
      <c r="O51" s="107"/>
      <c r="P51" s="107"/>
      <c r="Q51" s="107"/>
      <c r="R51" s="30"/>
    </row>
    <row r="52" spans="1:18" ht="13.5" customHeight="1" thickTop="1">
      <c r="A52" s="107"/>
      <c r="B52" s="107"/>
      <c r="C52" s="107"/>
      <c r="D52" s="106" t="s">
        <v>123</v>
      </c>
      <c r="E52" s="106"/>
      <c r="F52" s="21"/>
      <c r="G52" s="21"/>
      <c r="H52" s="107"/>
      <c r="I52" s="107"/>
      <c r="J52" s="107"/>
      <c r="K52" s="107"/>
      <c r="L52" s="107"/>
      <c r="M52" s="107"/>
      <c r="N52" s="107"/>
      <c r="O52" s="107"/>
      <c r="P52" s="107"/>
      <c r="Q52" s="107"/>
      <c r="R52" s="30"/>
    </row>
    <row r="53" spans="1:18" ht="12.75" hidden="1">
      <c r="A53" s="107"/>
      <c r="B53" s="107"/>
      <c r="C53" s="107"/>
      <c r="D53" s="107"/>
      <c r="E53" s="107"/>
      <c r="F53" s="107"/>
      <c r="G53" s="107"/>
      <c r="H53" s="107"/>
      <c r="I53" s="107"/>
      <c r="J53" s="107"/>
      <c r="K53" s="107"/>
      <c r="L53" s="107"/>
      <c r="M53" s="107"/>
      <c r="N53" s="107"/>
      <c r="O53" s="107"/>
      <c r="P53" s="107"/>
      <c r="Q53" s="107"/>
      <c r="R53" s="30"/>
    </row>
    <row r="54" spans="1:18" ht="12.75" hidden="1">
      <c r="A54" s="107"/>
      <c r="B54" s="107"/>
      <c r="C54" s="107"/>
      <c r="D54" s="107"/>
      <c r="E54" s="107"/>
      <c r="F54" s="107"/>
      <c r="G54" s="107"/>
      <c r="H54" s="107"/>
      <c r="I54" s="107"/>
      <c r="J54" s="107"/>
      <c r="K54" s="107"/>
      <c r="L54" s="107"/>
      <c r="M54" s="107"/>
      <c r="N54" s="107"/>
      <c r="O54" s="107"/>
      <c r="P54" s="107"/>
      <c r="Q54" s="107"/>
      <c r="R54" s="30"/>
    </row>
    <row r="55" spans="1:18" ht="18" hidden="1">
      <c r="A55" s="107"/>
      <c r="B55" s="30"/>
      <c r="C55" s="30"/>
      <c r="D55" s="30"/>
      <c r="E55" s="30"/>
      <c r="F55" s="30"/>
      <c r="G55" s="334"/>
      <c r="H55" s="30"/>
      <c r="I55" s="30"/>
      <c r="J55" s="30"/>
      <c r="K55" s="30"/>
      <c r="L55" s="30"/>
      <c r="M55" s="30"/>
      <c r="N55" s="30"/>
      <c r="O55" s="30"/>
      <c r="P55" s="30"/>
      <c r="Q55" s="30"/>
      <c r="R55" s="30"/>
    </row>
    <row r="56" spans="1:7" ht="12.75" hidden="1">
      <c r="A56" s="18"/>
      <c r="G56" s="53"/>
    </row>
    <row r="57" spans="1:7" ht="12.75" hidden="1">
      <c r="A57" s="18"/>
      <c r="G57" s="53"/>
    </row>
    <row r="58" spans="1:7" ht="12.75" hidden="1">
      <c r="A58" s="18"/>
      <c r="G58" s="53"/>
    </row>
    <row r="59" spans="1:44" ht="12.75" hidden="1">
      <c r="A59" s="18"/>
      <c r="G59" s="53"/>
      <c r="AR59" t="s">
        <v>304</v>
      </c>
    </row>
    <row r="60" spans="1:44" ht="12.75" hidden="1">
      <c r="A60" s="18"/>
      <c r="G60" s="53"/>
      <c r="AA60" s="65" t="s">
        <v>285</v>
      </c>
      <c r="AB60" s="65" t="s">
        <v>287</v>
      </c>
      <c r="AR60" t="s">
        <v>37</v>
      </c>
    </row>
    <row r="61" spans="1:44" ht="15" hidden="1">
      <c r="A61" s="18"/>
      <c r="G61" s="53"/>
      <c r="S61" t="s">
        <v>8</v>
      </c>
      <c r="T61" t="s">
        <v>9</v>
      </c>
      <c r="V61" t="s">
        <v>48</v>
      </c>
      <c r="X61" s="7" t="s">
        <v>37</v>
      </c>
      <c r="Y61" s="7" t="s">
        <v>86</v>
      </c>
      <c r="Z61" s="20" t="s">
        <v>32</v>
      </c>
      <c r="AA61" s="65" t="s">
        <v>286</v>
      </c>
      <c r="AB61" s="65" t="s">
        <v>288</v>
      </c>
      <c r="AD61" s="286" t="s">
        <v>284</v>
      </c>
      <c r="AE61" s="286" t="s">
        <v>291</v>
      </c>
      <c r="AF61" s="286" t="s">
        <v>292</v>
      </c>
      <c r="AG61" s="287" t="s">
        <v>293</v>
      </c>
      <c r="AH61" s="287" t="s">
        <v>294</v>
      </c>
      <c r="AI61" s="287" t="s">
        <v>295</v>
      </c>
      <c r="AJ61" s="287"/>
      <c r="AM61" t="s">
        <v>302</v>
      </c>
      <c r="AN61" s="65" t="s">
        <v>303</v>
      </c>
      <c r="AO61" t="s">
        <v>303</v>
      </c>
      <c r="AQ61" t="s">
        <v>76</v>
      </c>
      <c r="AR61" t="s">
        <v>126</v>
      </c>
    </row>
    <row r="62" spans="1:44" ht="15" hidden="1">
      <c r="A62" s="18"/>
      <c r="G62" s="53"/>
      <c r="S62">
        <v>0.1</v>
      </c>
      <c r="T62">
        <v>0</v>
      </c>
      <c r="V62" s="7">
        <f aca="true" t="shared" si="0" ref="V62:V71">IF(J8&lt;L8,1,IF(J8=L8,0,IF(J8&gt;L8,-1,"NOT")))</f>
        <v>0</v>
      </c>
      <c r="X62" s="7" t="s">
        <v>88</v>
      </c>
      <c r="Y62" s="7" t="e">
        <f>VLOOKUP(10000000,$AJ$81:$AK$88,2)</f>
        <v>#N/A</v>
      </c>
      <c r="Z62" s="65" t="e">
        <f>VLOOKUP(Y62,$AG$81:$AJ$88,4)</f>
        <v>#N/A</v>
      </c>
      <c r="AA62" s="65" t="s">
        <v>289</v>
      </c>
      <c r="AB62" s="65">
        <f>IF(L18&gt;5.5,2,1)</f>
        <v>1</v>
      </c>
      <c r="AD62" s="286">
        <v>1</v>
      </c>
      <c r="AE62" s="286">
        <f>IF(OR(AA63=1,(AND(L18=6,AA67=1))),1,0)</f>
        <v>1</v>
      </c>
      <c r="AF62" s="286">
        <f>'random numbers'!$B$50</f>
        <v>0.9620345830917358</v>
      </c>
      <c r="AG62" s="287">
        <f aca="true" t="shared" si="1" ref="AG62:AG67">IF(AF62&lt;0.5,0.1,0.2)</f>
        <v>0.2</v>
      </c>
      <c r="AH62" s="287"/>
      <c r="AI62" s="287">
        <f>+C25+AG62</f>
        <v>0.2</v>
      </c>
      <c r="AJ62" s="287" t="str">
        <f aca="true" t="shared" si="2" ref="AJ62:AJ67">IF(AE62,CONCATENATE(AI62," LJD"),"")</f>
        <v>0.2 LJD</v>
      </c>
      <c r="AK62" t="str">
        <f>IF('random numbers'!$B$60&gt;0.5,"L","R")</f>
        <v>R</v>
      </c>
      <c r="AL62" t="str">
        <f aca="true" t="shared" si="3" ref="AL62:AL67">IF(AE62=1,CONCATENATE(INT(AI62)+0.3,"L","  ",INT(AI62)+0.4,"R","  ","test comp to  ",CONCATENATE(INT(AI62),AO62)),"")</f>
        <v>0.3L  0.4R  test comp to  0.3L</v>
      </c>
      <c r="AM62" s="292">
        <f>'random numbers'!$B$30</f>
        <v>0.3719702959060669</v>
      </c>
      <c r="AN62" s="293" t="str">
        <f aca="true" t="shared" si="4" ref="AN62:AN67">IF(AM62&lt;0.5,".3",".4")</f>
        <v>.3</v>
      </c>
      <c r="AO62" s="293" t="str">
        <f aca="true" t="shared" si="5" ref="AO62:AO67">IF(AN62=".3",CONCATENATE(AN62,"L"),CONCATENATE(AN62,"R"))</f>
        <v>.3L</v>
      </c>
      <c r="AQ62" s="292">
        <f>'random numbers'!$B$60</f>
        <v>0.36792516708374023</v>
      </c>
      <c r="AR62">
        <f aca="true" t="shared" si="6" ref="AR62:AR67">IF(AQ62&lt;0.5,(($N$19/2)-2),(($N$19/2)+2))</f>
        <v>-2</v>
      </c>
    </row>
    <row r="63" spans="1:44" ht="15" hidden="1">
      <c r="A63" s="18"/>
      <c r="S63">
        <v>1</v>
      </c>
      <c r="T63">
        <v>1</v>
      </c>
      <c r="V63" s="7">
        <f t="shared" si="0"/>
        <v>0</v>
      </c>
      <c r="X63" s="7" t="s">
        <v>89</v>
      </c>
      <c r="Y63" s="7" t="e">
        <f>VLOOKUP(10000000,$AN$81:$AO$88,2)</f>
        <v>#N/A</v>
      </c>
      <c r="Z63" s="65" t="e">
        <f>VLOOKUP(Y63,$AK$81:$AN$88,4)</f>
        <v>#N/A</v>
      </c>
      <c r="AA63" s="65">
        <f>+ROUND(('random numbers'!$B$170)*L18+0.5,0)</f>
        <v>1</v>
      </c>
      <c r="AD63" s="286">
        <v>2</v>
      </c>
      <c r="AE63" s="286">
        <f>IF(OR(AA63=2,(AND(L18=6,AA67=2))),1,0)</f>
        <v>0</v>
      </c>
      <c r="AF63" s="286">
        <f>'random numbers'!$B$51</f>
        <v>0.20366007089614868</v>
      </c>
      <c r="AG63" s="287">
        <f t="shared" si="1"/>
        <v>0.1</v>
      </c>
      <c r="AH63" s="287"/>
      <c r="AI63" s="287" t="e">
        <f>+C28+AG63</f>
        <v>#VALUE!</v>
      </c>
      <c r="AJ63" s="287">
        <f t="shared" si="2"/>
      </c>
      <c r="AK63" t="str">
        <f>IF('random numbers'!$B$61&gt;0.5,"L","R")</f>
        <v>L</v>
      </c>
      <c r="AL63">
        <f t="shared" si="3"/>
      </c>
      <c r="AM63" s="292">
        <f>'random numbers'!$B$31</f>
        <v>0.4426944851875305</v>
      </c>
      <c r="AN63" s="293" t="str">
        <f t="shared" si="4"/>
        <v>.3</v>
      </c>
      <c r="AO63" s="293" t="str">
        <f t="shared" si="5"/>
        <v>.3L</v>
      </c>
      <c r="AQ63" s="292">
        <f>'random numbers'!$B$61</f>
        <v>0.720409095287323</v>
      </c>
      <c r="AR63">
        <f t="shared" si="6"/>
        <v>2</v>
      </c>
    </row>
    <row r="64" spans="1:44" ht="15" hidden="1">
      <c r="A64" s="18"/>
      <c r="S64">
        <v>601</v>
      </c>
      <c r="T64">
        <v>2</v>
      </c>
      <c r="V64" s="7">
        <f t="shared" si="0"/>
        <v>0</v>
      </c>
      <c r="X64" s="7" t="s">
        <v>90</v>
      </c>
      <c r="Y64" s="7">
        <f>IF($L$18&lt;2,"",VLOOKUP(10000000,$AJ$92:$AK$99,2))</f>
      </c>
      <c r="Z64" s="65">
        <f>IF(Y64="","",VLOOKUP(Y64,$AG$92:$AJ$99,4))</f>
      </c>
      <c r="AA64" s="65" t="s">
        <v>290</v>
      </c>
      <c r="AD64" s="286">
        <v>3</v>
      </c>
      <c r="AE64" s="286">
        <f>IF(OR(AA63=3,(AND(L18=6,AA67=3))),1,0)</f>
        <v>0</v>
      </c>
      <c r="AF64" s="286">
        <f>'random numbers'!$B$52</f>
        <v>0.47878360748291016</v>
      </c>
      <c r="AG64" s="287">
        <f t="shared" si="1"/>
        <v>0.1</v>
      </c>
      <c r="AH64" s="287"/>
      <c r="AI64" s="287" t="e">
        <f>+C31+AG64</f>
        <v>#VALUE!</v>
      </c>
      <c r="AJ64" s="287">
        <f t="shared" si="2"/>
      </c>
      <c r="AK64" t="str">
        <f>IF('random numbers'!$B$62&gt;0.5,"L","R")</f>
        <v>L</v>
      </c>
      <c r="AL64">
        <f t="shared" si="3"/>
      </c>
      <c r="AM64" s="292">
        <f>'random numbers'!$B$32</f>
        <v>0.49610114097595215</v>
      </c>
      <c r="AN64" s="293" t="str">
        <f t="shared" si="4"/>
        <v>.3</v>
      </c>
      <c r="AO64" s="293" t="str">
        <f t="shared" si="5"/>
        <v>.3L</v>
      </c>
      <c r="AQ64" s="292">
        <f>'random numbers'!$B$62</f>
        <v>0.6629573106765747</v>
      </c>
      <c r="AR64">
        <f t="shared" si="6"/>
        <v>2</v>
      </c>
    </row>
    <row r="65" spans="1:44" ht="15" hidden="1">
      <c r="A65" s="18"/>
      <c r="S65">
        <v>1001</v>
      </c>
      <c r="T65">
        <v>3</v>
      </c>
      <c r="V65" s="7">
        <f t="shared" si="0"/>
        <v>0</v>
      </c>
      <c r="X65" s="7" t="s">
        <v>6</v>
      </c>
      <c r="Y65" s="7">
        <f>IF($L$18&lt;2,"",VLOOKUP(10000000,$AN$92:$AO$99,2))</f>
      </c>
      <c r="Z65" s="65">
        <f>IF(Y65="","",VLOOKUP(Y65,$AK$92:$AN$99,4))</f>
      </c>
      <c r="AA65" s="65">
        <f>+ROUND(('random numbers'!$B$171)*L18+0.5,0)</f>
        <v>1</v>
      </c>
      <c r="AD65" s="286">
        <v>4</v>
      </c>
      <c r="AE65" s="286">
        <f>IF(OR(AA63=4,(AND(L18=6,AA67=4))),1,0)</f>
        <v>0</v>
      </c>
      <c r="AF65" s="286">
        <f>'random numbers'!$B$53</f>
        <v>0.12225455045700073</v>
      </c>
      <c r="AG65" s="287">
        <f t="shared" si="1"/>
        <v>0.1</v>
      </c>
      <c r="AH65" s="287"/>
      <c r="AI65" s="287" t="e">
        <f>+C34+AG65</f>
        <v>#VALUE!</v>
      </c>
      <c r="AJ65" s="287">
        <f t="shared" si="2"/>
      </c>
      <c r="AK65" t="str">
        <f>IF('random numbers'!$B$63&gt;0.5,"L","R")</f>
        <v>R</v>
      </c>
      <c r="AL65">
        <f t="shared" si="3"/>
      </c>
      <c r="AM65" s="292">
        <f>'random numbers'!$B$33</f>
        <v>0.33588117361068726</v>
      </c>
      <c r="AN65" s="293" t="str">
        <f t="shared" si="4"/>
        <v>.3</v>
      </c>
      <c r="AO65" s="293" t="str">
        <f t="shared" si="5"/>
        <v>.3L</v>
      </c>
      <c r="AQ65" s="292">
        <f>'random numbers'!$B$63</f>
        <v>0.10089188814163208</v>
      </c>
      <c r="AR65">
        <f t="shared" si="6"/>
        <v>-2</v>
      </c>
    </row>
    <row r="66" spans="1:44" ht="15" hidden="1">
      <c r="A66" s="18"/>
      <c r="S66">
        <v>1601</v>
      </c>
      <c r="T66">
        <v>4</v>
      </c>
      <c r="V66" s="7">
        <f t="shared" si="0"/>
        <v>0</v>
      </c>
      <c r="X66" s="7" t="s">
        <v>91</v>
      </c>
      <c r="Y66" s="7">
        <f>IF($L$18&lt;3,"",VLOOKUP(10000000,$AJ$103:$AK$110,2))</f>
      </c>
      <c r="Z66" s="65">
        <f>IF(Y66="","",VLOOKUP(Y66,$AG$103:$AJ$110,4))</f>
      </c>
      <c r="AA66" s="65">
        <f>IF(AA63=AA65,AA65+1,AA65)</f>
        <v>2</v>
      </c>
      <c r="AD66" s="286">
        <v>5</v>
      </c>
      <c r="AE66" s="286">
        <f>IF(OR(AA63=5,(AND(L18=6,AA67=5))),1,0)</f>
        <v>0</v>
      </c>
      <c r="AF66" s="286">
        <f>'random numbers'!$B$54</f>
        <v>0.4574209451675415</v>
      </c>
      <c r="AG66" s="287">
        <f t="shared" si="1"/>
        <v>0.1</v>
      </c>
      <c r="AH66" s="287"/>
      <c r="AI66" s="287" t="e">
        <f>+C37+AG66</f>
        <v>#VALUE!</v>
      </c>
      <c r="AJ66" s="287">
        <f t="shared" si="2"/>
      </c>
      <c r="AK66" t="str">
        <f>IF('random numbers'!$B$64&gt;0.5,"L","R")</f>
        <v>L</v>
      </c>
      <c r="AL66">
        <f t="shared" si="3"/>
      </c>
      <c r="AM66" s="292">
        <f>'random numbers'!$B$34</f>
        <v>0.8165410757064819</v>
      </c>
      <c r="AN66" s="293" t="str">
        <f t="shared" si="4"/>
        <v>.4</v>
      </c>
      <c r="AO66" s="293" t="str">
        <f t="shared" si="5"/>
        <v>.4R</v>
      </c>
      <c r="AQ66" s="292">
        <f>'random numbers'!$B$64</f>
        <v>0.5215089321136475</v>
      </c>
      <c r="AR66">
        <f t="shared" si="6"/>
        <v>2</v>
      </c>
    </row>
    <row r="67" spans="1:44" ht="15" hidden="1">
      <c r="A67" s="18"/>
      <c r="S67">
        <v>3601</v>
      </c>
      <c r="T67">
        <v>5</v>
      </c>
      <c r="V67" s="7">
        <f t="shared" si="0"/>
        <v>0</v>
      </c>
      <c r="X67" s="7" t="s">
        <v>92</v>
      </c>
      <c r="Y67" s="7">
        <f>IF($L$18&lt;3,"",VLOOKUP(10000000,$AN$103:$AO$110,2))</f>
      </c>
      <c r="Z67" s="65">
        <f>IF(Y67="","",VLOOKUP(Y67,$AK$103:$AN$110,4))</f>
      </c>
      <c r="AA67" s="65">
        <f>IF(AA66&gt;L18,1,AA66)</f>
        <v>1</v>
      </c>
      <c r="AD67" s="286">
        <v>6</v>
      </c>
      <c r="AE67" s="286">
        <f>IF(OR(AA63=6,(AND(L18=6,AA67=6))),1,0)</f>
        <v>0</v>
      </c>
      <c r="AF67" s="286">
        <f>'random numbers'!$B$55</f>
        <v>0.1863425374031067</v>
      </c>
      <c r="AG67" s="287">
        <f t="shared" si="1"/>
        <v>0.1</v>
      </c>
      <c r="AH67" s="287"/>
      <c r="AI67" s="287" t="e">
        <f>+C40+AG67</f>
        <v>#VALUE!</v>
      </c>
      <c r="AJ67" s="287">
        <f t="shared" si="2"/>
      </c>
      <c r="AK67" t="str">
        <f>IF('random numbers'!$B$65&gt;0.5,"L","R")</f>
        <v>L</v>
      </c>
      <c r="AL67">
        <f t="shared" si="3"/>
      </c>
      <c r="AM67" s="292">
        <f>'random numbers'!$B$35</f>
        <v>0.3745613694190979</v>
      </c>
      <c r="AN67" s="293" t="str">
        <f t="shared" si="4"/>
        <v>.3</v>
      </c>
      <c r="AO67" s="293" t="str">
        <f t="shared" si="5"/>
        <v>.3L</v>
      </c>
      <c r="AQ67" s="292">
        <f>'random numbers'!$B$65</f>
        <v>0.9940785765647888</v>
      </c>
      <c r="AR67">
        <f t="shared" si="6"/>
        <v>2</v>
      </c>
    </row>
    <row r="68" spans="19:26" ht="12.75" hidden="1">
      <c r="S68">
        <v>5001</v>
      </c>
      <c r="T68">
        <v>6</v>
      </c>
      <c r="V68" s="7">
        <f t="shared" si="0"/>
        <v>0</v>
      </c>
      <c r="X68" s="7" t="s">
        <v>93</v>
      </c>
      <c r="Y68" s="7">
        <f>IF($L$18&lt;4,"",VLOOKUP(10000000,$AJ$114:$AK$121,2))</f>
      </c>
      <c r="Z68" s="65">
        <f>IF(Y68="","",VLOOKUP(Y68,$AG$114:$AJ$121,4))</f>
      </c>
    </row>
    <row r="69" spans="22:26" ht="12.75" hidden="1">
      <c r="V69" s="7">
        <f t="shared" si="0"/>
        <v>0</v>
      </c>
      <c r="X69" s="7" t="s">
        <v>94</v>
      </c>
      <c r="Y69" s="7">
        <f>IF($L$18&lt;4,"",VLOOKUP(10000000,$AN$114:$AO$121,2))</f>
      </c>
      <c r="Z69" s="65">
        <f>IF(Y69="","",VLOOKUP(Y69,$AK$114:$AN$121,4))</f>
      </c>
    </row>
    <row r="70" spans="22:26" ht="12.75" hidden="1">
      <c r="V70" s="7">
        <f t="shared" si="0"/>
        <v>0</v>
      </c>
      <c r="X70" s="7" t="s">
        <v>7</v>
      </c>
      <c r="Y70" s="7">
        <f>IF($L$18&lt;5,"",VLOOKUP(10000000,$AJ$125:$AK$132,2))</f>
      </c>
      <c r="Z70" s="65">
        <f>IF(Y70="","",VLOOKUP(Y70,$AG$125:$AJ$132,4))</f>
      </c>
    </row>
    <row r="71" spans="22:26" ht="12.75" hidden="1">
      <c r="V71" s="7">
        <f t="shared" si="0"/>
        <v>0</v>
      </c>
      <c r="X71" s="7" t="s">
        <v>95</v>
      </c>
      <c r="Y71" s="7">
        <f>IF($L$18&lt;5,"",VLOOKUP(10000000,$AN$125:$AO$132,2))</f>
      </c>
      <c r="Z71" s="65">
        <f>IF(Y71="","",VLOOKUP(Y71,$AK$125:$AN$132,4))</f>
      </c>
    </row>
    <row r="72" spans="24:26" ht="12.75" hidden="1">
      <c r="X72" s="7" t="s">
        <v>96</v>
      </c>
      <c r="Y72" s="7">
        <f>IF($L$18&lt;6,"",VLOOKUP(10000000,$AJ$136:$AK$143,2))</f>
      </c>
      <c r="Z72" s="65">
        <f>IF(Y72="","",VLOOKUP(Y72,$AG$136:$AJ$143,4))</f>
      </c>
    </row>
    <row r="73" spans="24:26" ht="12.75" hidden="1">
      <c r="X73" s="7" t="s">
        <v>97</v>
      </c>
      <c r="Y73" s="7">
        <f>IF($L$18&lt;6,"",VLOOKUP(10000000,$AN$136:$AO$143,2))</f>
      </c>
      <c r="Z73" s="65">
        <f>IF(Y73="","",VLOOKUP(Y73,$AK$136:$AN$143,4))</f>
      </c>
    </row>
    <row r="74" ht="12.75" hidden="1"/>
    <row r="75" ht="12.75" hidden="1"/>
    <row r="76" spans="24:36" ht="12.75" hidden="1">
      <c r="X76" s="7"/>
      <c r="Y76" s="7"/>
      <c r="AH76" s="467" t="s">
        <v>24</v>
      </c>
      <c r="AI76" s="467"/>
      <c r="AJ76" s="467"/>
    </row>
    <row r="77" spans="24:43" ht="12.75" hidden="1">
      <c r="X77" s="7"/>
      <c r="Y77" s="7"/>
      <c r="AH77" s="467"/>
      <c r="AI77" s="467"/>
      <c r="AJ77" s="467"/>
      <c r="AL77" s="467" t="s">
        <v>25</v>
      </c>
      <c r="AM77" s="467"/>
      <c r="AN77" s="467"/>
      <c r="AQ77" s="279" t="s">
        <v>281</v>
      </c>
    </row>
    <row r="78" spans="24:43" ht="12.75" hidden="1">
      <c r="X78" s="7"/>
      <c r="Y78" s="7"/>
      <c r="Z78" s="7" t="s">
        <v>27</v>
      </c>
      <c r="AA78" s="20" t="s">
        <v>28</v>
      </c>
      <c r="AB78" s="20" t="s">
        <v>29</v>
      </c>
      <c r="AC78" s="7" t="s">
        <v>30</v>
      </c>
      <c r="AF78" s="7" t="s">
        <v>30</v>
      </c>
      <c r="AH78" s="7"/>
      <c r="AI78" s="7" t="s">
        <v>31</v>
      </c>
      <c r="AJ78" s="20" t="s">
        <v>32</v>
      </c>
      <c r="AL78" s="7"/>
      <c r="AM78" s="7" t="s">
        <v>31</v>
      </c>
      <c r="AN78" s="20" t="s">
        <v>32</v>
      </c>
      <c r="AQ78" s="279" t="s">
        <v>282</v>
      </c>
    </row>
    <row r="79" spans="24:43" ht="12.75" hidden="1">
      <c r="X79" s="7"/>
      <c r="Y79" s="7"/>
      <c r="Z79" s="7" t="s">
        <v>34</v>
      </c>
      <c r="AA79" s="20" t="s">
        <v>34</v>
      </c>
      <c r="AB79" s="20" t="s">
        <v>34</v>
      </c>
      <c r="AC79" s="7" t="s">
        <v>35</v>
      </c>
      <c r="AF79" s="7" t="s">
        <v>36</v>
      </c>
      <c r="AH79" s="7" t="s">
        <v>37</v>
      </c>
      <c r="AI79" s="7" t="s">
        <v>35</v>
      </c>
      <c r="AJ79" s="20" t="s">
        <v>38</v>
      </c>
      <c r="AL79" s="7" t="s">
        <v>37</v>
      </c>
      <c r="AM79" s="7" t="s">
        <v>35</v>
      </c>
      <c r="AN79" s="20" t="s">
        <v>38</v>
      </c>
      <c r="AQ79" s="279" t="s">
        <v>283</v>
      </c>
    </row>
    <row r="80" spans="24:43" ht="12.75" hidden="1">
      <c r="X80" s="7" t="s">
        <v>34</v>
      </c>
      <c r="Y80" s="7" t="s">
        <v>42</v>
      </c>
      <c r="Z80" s="7" t="s">
        <v>30</v>
      </c>
      <c r="AA80" s="20" t="s">
        <v>32</v>
      </c>
      <c r="AB80" s="20" t="s">
        <v>32</v>
      </c>
      <c r="AC80" s="7" t="s">
        <v>42</v>
      </c>
      <c r="AF80" s="7" t="s">
        <v>42</v>
      </c>
      <c r="AG80" s="7" t="s">
        <v>42</v>
      </c>
      <c r="AH80" s="7" t="s">
        <v>43</v>
      </c>
      <c r="AI80" s="7" t="s">
        <v>42</v>
      </c>
      <c r="AJ80" s="20" t="s">
        <v>37</v>
      </c>
      <c r="AK80" s="7" t="s">
        <v>42</v>
      </c>
      <c r="AL80" s="7" t="s">
        <v>43</v>
      </c>
      <c r="AM80" s="7" t="s">
        <v>42</v>
      </c>
      <c r="AN80" s="20" t="s">
        <v>37</v>
      </c>
      <c r="AO80" s="7" t="s">
        <v>42</v>
      </c>
      <c r="AQ80" s="279" t="s">
        <v>284</v>
      </c>
    </row>
    <row r="81" spans="24:44" ht="12.75" hidden="1">
      <c r="X81" s="7">
        <v>1</v>
      </c>
      <c r="Y81" s="7">
        <v>1</v>
      </c>
      <c r="Z81" s="12">
        <f>$L$19</f>
        <v>0</v>
      </c>
      <c r="AA81" s="65">
        <f>J8</f>
        <v>0</v>
      </c>
      <c r="AB81" s="65">
        <f>IF($L$19&lt;=N8,J8+$L$19*V62,L8)</f>
        <v>0</v>
      </c>
      <c r="AC81" s="12">
        <f aca="true" t="shared" si="7" ref="AC81:AC90">ABS(AB81-AA81)</f>
        <v>0</v>
      </c>
      <c r="AD81">
        <f>IF(N8=0,"",IF(ROUND(AC81-$N$8,0)=0,"LOT 1",IF(Z81=0,"",IF(AB81-AA81&lt;N8,"PARTIAL","NOT"))))</f>
      </c>
      <c r="AF81" s="12">
        <f aca="true" t="shared" si="8" ref="AF81:AF90">IF(Z81="",0,N8-AC81)</f>
        <v>0</v>
      </c>
      <c r="AG81" s="7" t="s">
        <v>46</v>
      </c>
      <c r="AH81" s="12">
        <f>J24</f>
        <v>0</v>
      </c>
      <c r="AI81" s="12">
        <f>IF(AC81&gt;=AH81,AH81,AC81)</f>
        <v>0</v>
      </c>
      <c r="AJ81" s="65">
        <f>IF(AI81=AC81,"",AA81+AI81*V62)</f>
      </c>
      <c r="AK81" s="7" t="s">
        <v>46</v>
      </c>
      <c r="AL81" s="12">
        <f>J25</f>
        <v>0</v>
      </c>
      <c r="AM81" s="12">
        <f>IF(AC81&gt;=AL81,AL81,AC81)</f>
        <v>0</v>
      </c>
      <c r="AN81" s="65">
        <f>IF(AM81=AC81,"",AA81+AM81*V62)</f>
      </c>
      <c r="AO81" s="7" t="s">
        <v>46</v>
      </c>
      <c r="AR81" s="18"/>
    </row>
    <row r="82" spans="24:45" ht="12.75" hidden="1">
      <c r="X82" s="7"/>
      <c r="Y82" s="7">
        <v>2</v>
      </c>
      <c r="Z82" s="12">
        <f aca="true" t="shared" si="9" ref="Z82:Z90">IF(ROUND(N9,0)=0,"",Z81-ABS(AB81-AA81))</f>
      </c>
      <c r="AA82" s="65">
        <f aca="true" t="shared" si="10" ref="AA82:AA90">IF(Z82&lt;0.5,0,J9)</f>
        <v>0</v>
      </c>
      <c r="AB82" s="65" t="e">
        <f aca="true" t="shared" si="11" ref="AB82:AB90">IF(Z82&lt;0.5,0,IF(Z82&lt;=N9,J9+Z82*V63,L9))</f>
        <v>#VALUE!</v>
      </c>
      <c r="AC82" s="12" t="e">
        <f t="shared" si="7"/>
        <v>#VALUE!</v>
      </c>
      <c r="AD82">
        <f>IF(N9=0,"",IF(ROUND(AC82-N9,0)=0,"LOT 1",IF(Z82&lt;0.5,"",IF(AB82-AA82&lt;$N$9+0.5,"PARTIAL","NOT"))))</f>
      </c>
      <c r="AF82" s="12">
        <f t="shared" si="8"/>
        <v>0</v>
      </c>
      <c r="AG82" s="7" t="s">
        <v>49</v>
      </c>
      <c r="AH82" s="12" t="e">
        <f>IF(AC82=0,"",IF(AJ81="",AH81-AI81,""))</f>
        <v>#VALUE!</v>
      </c>
      <c r="AI82" s="12" t="e">
        <f aca="true" t="shared" si="12" ref="AI82:AI90">IF(AH82="","",IF(AC82&gt;=AH82,AH82,AC82))</f>
        <v>#VALUE!</v>
      </c>
      <c r="AJ82" s="65" t="e">
        <f aca="true" t="shared" si="13" ref="AJ82:AJ90">IF(AH82="","",IF(ROUND(AI82-AH82,0)=0,AA82+AI82*V63,IF(AI82=AC82,"",AA82+AI82*V63)))</f>
        <v>#VALUE!</v>
      </c>
      <c r="AK82" s="7" t="s">
        <v>49</v>
      </c>
      <c r="AL82" s="12" t="e">
        <f aca="true" t="shared" si="14" ref="AL82:AL90">IF(AL81="","",IF(AC82=0,"",IF(AN81="",AL81-AM81,"")))</f>
        <v>#VALUE!</v>
      </c>
      <c r="AM82" s="12" t="e">
        <f aca="true" t="shared" si="15" ref="AM82:AM90">IF(AL82="","",IF(AC82&gt;=AL82,AL82,AC82))</f>
        <v>#VALUE!</v>
      </c>
      <c r="AN82" s="65" t="e">
        <f aca="true" t="shared" si="16" ref="AN82:AN90">IF(AL82="","",IF(ROUND(AM82-AL82,0)=0,AA82+AM82*V63,IF(AM82=AC82,"",AA82+AM82*V63)))</f>
        <v>#VALUE!</v>
      </c>
      <c r="AO82" s="7" t="s">
        <v>49</v>
      </c>
      <c r="AR82" s="18"/>
      <c r="AS82">
        <v>1</v>
      </c>
    </row>
    <row r="83" spans="24:47" ht="12.75" hidden="1">
      <c r="X83" s="7"/>
      <c r="Y83" s="7">
        <v>3</v>
      </c>
      <c r="Z83" s="12">
        <f t="shared" si="9"/>
      </c>
      <c r="AA83" s="65">
        <f t="shared" si="10"/>
        <v>0</v>
      </c>
      <c r="AB83" s="65" t="e">
        <f t="shared" si="11"/>
        <v>#VALUE!</v>
      </c>
      <c r="AC83" s="12" t="e">
        <f t="shared" si="7"/>
        <v>#VALUE!</v>
      </c>
      <c r="AD83">
        <f aca="true" t="shared" si="17" ref="AD83:AD90">IF(N10=0,"",IF(ROUND(AC83-N10,0)=0,"LOT 1",IF(Z83&lt;0.5,"",IF(AB83-AA83&lt;N10,"PARTIAL","NOT"))))</f>
      </c>
      <c r="AF83" s="12">
        <f t="shared" si="8"/>
        <v>0</v>
      </c>
      <c r="AG83" s="7" t="s">
        <v>54</v>
      </c>
      <c r="AH83" s="12" t="e">
        <f aca="true" t="shared" si="18" ref="AH83:AH90">IF(AH82="","",IF(AC83=0,"",IF(AJ82="",AH82-AI82,"")))</f>
        <v>#VALUE!</v>
      </c>
      <c r="AI83" s="12" t="e">
        <f t="shared" si="12"/>
        <v>#VALUE!</v>
      </c>
      <c r="AJ83" s="65" t="e">
        <f t="shared" si="13"/>
        <v>#VALUE!</v>
      </c>
      <c r="AK83" s="7" t="s">
        <v>54</v>
      </c>
      <c r="AL83" s="12" t="e">
        <f t="shared" si="14"/>
        <v>#VALUE!</v>
      </c>
      <c r="AM83" s="12" t="e">
        <f t="shared" si="15"/>
        <v>#VALUE!</v>
      </c>
      <c r="AN83" s="65" t="e">
        <f t="shared" si="16"/>
        <v>#VALUE!</v>
      </c>
      <c r="AO83" s="7" t="s">
        <v>54</v>
      </c>
      <c r="AS83" s="85" t="s">
        <v>55</v>
      </c>
      <c r="AU83" s="1" t="s">
        <v>153</v>
      </c>
    </row>
    <row r="84" spans="24:47" ht="12.75" hidden="1">
      <c r="X84" s="7"/>
      <c r="Y84" s="7">
        <v>4</v>
      </c>
      <c r="Z84" s="12">
        <f t="shared" si="9"/>
      </c>
      <c r="AA84" s="65">
        <f t="shared" si="10"/>
        <v>0</v>
      </c>
      <c r="AB84" s="65" t="e">
        <f t="shared" si="11"/>
        <v>#VALUE!</v>
      </c>
      <c r="AC84" s="12" t="e">
        <f t="shared" si="7"/>
        <v>#VALUE!</v>
      </c>
      <c r="AD84">
        <f t="shared" si="17"/>
      </c>
      <c r="AF84" s="12">
        <f t="shared" si="8"/>
        <v>0</v>
      </c>
      <c r="AG84" s="7" t="s">
        <v>56</v>
      </c>
      <c r="AH84" s="12" t="e">
        <f t="shared" si="18"/>
        <v>#VALUE!</v>
      </c>
      <c r="AI84" s="12" t="e">
        <f t="shared" si="12"/>
        <v>#VALUE!</v>
      </c>
      <c r="AJ84" s="65" t="e">
        <f t="shared" si="13"/>
        <v>#VALUE!</v>
      </c>
      <c r="AK84" s="7" t="s">
        <v>56</v>
      </c>
      <c r="AL84" s="12" t="e">
        <f t="shared" si="14"/>
        <v>#VALUE!</v>
      </c>
      <c r="AM84" s="12" t="e">
        <f t="shared" si="15"/>
        <v>#VALUE!</v>
      </c>
      <c r="AN84" s="65" t="e">
        <f t="shared" si="16"/>
        <v>#VALUE!</v>
      </c>
      <c r="AO84" s="7" t="s">
        <v>56</v>
      </c>
      <c r="AS84" s="86" t="s">
        <v>57</v>
      </c>
      <c r="AU84" s="1" t="s">
        <v>154</v>
      </c>
    </row>
    <row r="85" spans="24:47" ht="12.75" hidden="1">
      <c r="X85" s="7"/>
      <c r="Y85" s="7">
        <v>5</v>
      </c>
      <c r="Z85" s="12">
        <f t="shared" si="9"/>
      </c>
      <c r="AA85" s="65">
        <f t="shared" si="10"/>
        <v>0</v>
      </c>
      <c r="AB85" s="65" t="e">
        <f t="shared" si="11"/>
        <v>#VALUE!</v>
      </c>
      <c r="AC85" s="12" t="e">
        <f t="shared" si="7"/>
        <v>#VALUE!</v>
      </c>
      <c r="AD85">
        <f t="shared" si="17"/>
      </c>
      <c r="AF85" s="12">
        <f t="shared" si="8"/>
        <v>0</v>
      </c>
      <c r="AG85" s="7" t="s">
        <v>58</v>
      </c>
      <c r="AH85" s="12" t="e">
        <f t="shared" si="18"/>
        <v>#VALUE!</v>
      </c>
      <c r="AI85" s="12" t="e">
        <f t="shared" si="12"/>
        <v>#VALUE!</v>
      </c>
      <c r="AJ85" s="65" t="e">
        <f t="shared" si="13"/>
        <v>#VALUE!</v>
      </c>
      <c r="AK85" s="7" t="s">
        <v>58</v>
      </c>
      <c r="AL85" s="12" t="e">
        <f t="shared" si="14"/>
        <v>#VALUE!</v>
      </c>
      <c r="AM85" s="12" t="e">
        <f t="shared" si="15"/>
        <v>#VALUE!</v>
      </c>
      <c r="AN85" s="65" t="e">
        <f t="shared" si="16"/>
        <v>#VALUE!</v>
      </c>
      <c r="AO85" s="7" t="s">
        <v>58</v>
      </c>
      <c r="AS85" s="86" t="s">
        <v>59</v>
      </c>
      <c r="AU85" s="1" t="s">
        <v>155</v>
      </c>
    </row>
    <row r="86" spans="24:47" ht="12.75" hidden="1">
      <c r="X86" s="7"/>
      <c r="Y86" s="7">
        <v>6</v>
      </c>
      <c r="Z86" s="12">
        <f t="shared" si="9"/>
      </c>
      <c r="AA86" s="65">
        <f t="shared" si="10"/>
        <v>0</v>
      </c>
      <c r="AB86" s="65" t="e">
        <f t="shared" si="11"/>
        <v>#VALUE!</v>
      </c>
      <c r="AC86" s="12" t="e">
        <f t="shared" si="7"/>
        <v>#VALUE!</v>
      </c>
      <c r="AD86">
        <f t="shared" si="17"/>
      </c>
      <c r="AF86" s="12">
        <f t="shared" si="8"/>
        <v>0</v>
      </c>
      <c r="AG86" s="7" t="s">
        <v>61</v>
      </c>
      <c r="AH86" s="12" t="e">
        <f t="shared" si="18"/>
        <v>#VALUE!</v>
      </c>
      <c r="AI86" s="12" t="e">
        <f t="shared" si="12"/>
        <v>#VALUE!</v>
      </c>
      <c r="AJ86" s="65" t="e">
        <f t="shared" si="13"/>
        <v>#VALUE!</v>
      </c>
      <c r="AK86" s="7" t="s">
        <v>61</v>
      </c>
      <c r="AL86" s="12" t="e">
        <f t="shared" si="14"/>
        <v>#VALUE!</v>
      </c>
      <c r="AM86" s="12" t="e">
        <f t="shared" si="15"/>
        <v>#VALUE!</v>
      </c>
      <c r="AN86" s="65" t="e">
        <f t="shared" si="16"/>
        <v>#VALUE!</v>
      </c>
      <c r="AO86" s="7" t="s">
        <v>61</v>
      </c>
      <c r="AS86" s="86" t="s">
        <v>257</v>
      </c>
      <c r="AU86" s="1" t="s">
        <v>156</v>
      </c>
    </row>
    <row r="87" spans="24:47" ht="12.75" hidden="1">
      <c r="X87" s="7"/>
      <c r="Y87" s="7">
        <v>7</v>
      </c>
      <c r="Z87" s="12">
        <f t="shared" si="9"/>
      </c>
      <c r="AA87" s="65">
        <f t="shared" si="10"/>
        <v>0</v>
      </c>
      <c r="AB87" s="65" t="e">
        <f t="shared" si="11"/>
        <v>#VALUE!</v>
      </c>
      <c r="AC87" s="12" t="e">
        <f t="shared" si="7"/>
        <v>#VALUE!</v>
      </c>
      <c r="AD87">
        <f t="shared" si="17"/>
      </c>
      <c r="AF87" s="12">
        <f t="shared" si="8"/>
        <v>0</v>
      </c>
      <c r="AG87" s="7" t="s">
        <v>237</v>
      </c>
      <c r="AH87" s="12" t="e">
        <f t="shared" si="18"/>
        <v>#VALUE!</v>
      </c>
      <c r="AI87" s="12" t="e">
        <f t="shared" si="12"/>
        <v>#VALUE!</v>
      </c>
      <c r="AJ87" s="65" t="e">
        <f t="shared" si="13"/>
        <v>#VALUE!</v>
      </c>
      <c r="AK87" s="7" t="s">
        <v>237</v>
      </c>
      <c r="AL87" s="12" t="e">
        <f t="shared" si="14"/>
        <v>#VALUE!</v>
      </c>
      <c r="AM87" s="12" t="e">
        <f t="shared" si="15"/>
        <v>#VALUE!</v>
      </c>
      <c r="AN87" s="65" t="e">
        <f t="shared" si="16"/>
        <v>#VALUE!</v>
      </c>
      <c r="AO87" s="7" t="s">
        <v>237</v>
      </c>
      <c r="AS87" s="86" t="s">
        <v>64</v>
      </c>
      <c r="AU87" s="1" t="s">
        <v>157</v>
      </c>
    </row>
    <row r="88" spans="24:47" ht="12.75" hidden="1">
      <c r="X88" s="7"/>
      <c r="Y88" s="7">
        <v>8</v>
      </c>
      <c r="Z88" s="12">
        <f t="shared" si="9"/>
      </c>
      <c r="AA88" s="65">
        <f t="shared" si="10"/>
        <v>0</v>
      </c>
      <c r="AB88" s="65" t="e">
        <f t="shared" si="11"/>
        <v>#VALUE!</v>
      </c>
      <c r="AC88" s="12" t="e">
        <f t="shared" si="7"/>
        <v>#VALUE!</v>
      </c>
      <c r="AD88">
        <f t="shared" si="17"/>
      </c>
      <c r="AF88" s="12">
        <f t="shared" si="8"/>
        <v>0</v>
      </c>
      <c r="AG88" s="7" t="s">
        <v>238</v>
      </c>
      <c r="AH88" s="12" t="e">
        <f t="shared" si="18"/>
        <v>#VALUE!</v>
      </c>
      <c r="AI88" s="12" t="e">
        <f t="shared" si="12"/>
        <v>#VALUE!</v>
      </c>
      <c r="AJ88" s="65" t="e">
        <f t="shared" si="13"/>
        <v>#VALUE!</v>
      </c>
      <c r="AK88" s="7" t="s">
        <v>238</v>
      </c>
      <c r="AL88" s="12" t="e">
        <f t="shared" si="14"/>
        <v>#VALUE!</v>
      </c>
      <c r="AM88" s="12" t="e">
        <f t="shared" si="15"/>
        <v>#VALUE!</v>
      </c>
      <c r="AN88" s="65" t="e">
        <f t="shared" si="16"/>
        <v>#VALUE!</v>
      </c>
      <c r="AO88" s="7" t="s">
        <v>238</v>
      </c>
      <c r="AS88" s="86" t="s">
        <v>258</v>
      </c>
      <c r="AU88" s="1" t="s">
        <v>158</v>
      </c>
    </row>
    <row r="89" spans="24:47" ht="12.75" hidden="1">
      <c r="X89" s="7"/>
      <c r="Y89" s="7">
        <v>9</v>
      </c>
      <c r="Z89" s="12">
        <f t="shared" si="9"/>
      </c>
      <c r="AA89" s="65">
        <f t="shared" si="10"/>
        <v>0</v>
      </c>
      <c r="AB89" s="65" t="e">
        <f t="shared" si="11"/>
        <v>#VALUE!</v>
      </c>
      <c r="AC89" s="12" t="e">
        <f t="shared" si="7"/>
        <v>#VALUE!</v>
      </c>
      <c r="AD89">
        <f t="shared" si="17"/>
      </c>
      <c r="AF89" s="12">
        <f t="shared" si="8"/>
        <v>0</v>
      </c>
      <c r="AG89" s="7" t="s">
        <v>276</v>
      </c>
      <c r="AH89" s="12" t="e">
        <f t="shared" si="18"/>
        <v>#VALUE!</v>
      </c>
      <c r="AI89" s="12" t="e">
        <f t="shared" si="12"/>
        <v>#VALUE!</v>
      </c>
      <c r="AJ89" s="65" t="e">
        <f t="shared" si="13"/>
        <v>#VALUE!</v>
      </c>
      <c r="AK89" s="7" t="s">
        <v>276</v>
      </c>
      <c r="AL89" s="12" t="e">
        <f t="shared" si="14"/>
        <v>#VALUE!</v>
      </c>
      <c r="AM89" s="12" t="e">
        <f t="shared" si="15"/>
        <v>#VALUE!</v>
      </c>
      <c r="AN89" s="65" t="e">
        <f t="shared" si="16"/>
        <v>#VALUE!</v>
      </c>
      <c r="AO89" s="7" t="s">
        <v>276</v>
      </c>
      <c r="AS89" s="86"/>
      <c r="AU89" s="1"/>
    </row>
    <row r="90" spans="24:47" ht="12.75" hidden="1">
      <c r="X90" s="7"/>
      <c r="Y90" s="7">
        <v>10</v>
      </c>
      <c r="Z90" s="12">
        <f t="shared" si="9"/>
      </c>
      <c r="AA90" s="65">
        <f t="shared" si="10"/>
        <v>0</v>
      </c>
      <c r="AB90" s="65" t="e">
        <f t="shared" si="11"/>
        <v>#VALUE!</v>
      </c>
      <c r="AC90" s="12" t="e">
        <f t="shared" si="7"/>
        <v>#VALUE!</v>
      </c>
      <c r="AD90">
        <f t="shared" si="17"/>
      </c>
      <c r="AF90" s="12">
        <f t="shared" si="8"/>
        <v>0</v>
      </c>
      <c r="AG90" s="7" t="s">
        <v>296</v>
      </c>
      <c r="AH90" s="12" t="e">
        <f t="shared" si="18"/>
        <v>#VALUE!</v>
      </c>
      <c r="AI90" s="12" t="e">
        <f t="shared" si="12"/>
        <v>#VALUE!</v>
      </c>
      <c r="AJ90" s="65" t="e">
        <f t="shared" si="13"/>
        <v>#VALUE!</v>
      </c>
      <c r="AK90" s="7" t="s">
        <v>296</v>
      </c>
      <c r="AL90" s="12" t="e">
        <f t="shared" si="14"/>
        <v>#VALUE!</v>
      </c>
      <c r="AM90" s="12" t="e">
        <f t="shared" si="15"/>
        <v>#VALUE!</v>
      </c>
      <c r="AN90" s="65" t="e">
        <f t="shared" si="16"/>
        <v>#VALUE!</v>
      </c>
      <c r="AO90" s="7" t="s">
        <v>296</v>
      </c>
      <c r="AS90" s="86"/>
      <c r="AU90" s="1"/>
    </row>
    <row r="91" spans="24:47" ht="12.75" hidden="1">
      <c r="X91" s="7"/>
      <c r="Y91" s="7"/>
      <c r="Z91" s="12"/>
      <c r="AC91" s="12"/>
      <c r="AF91" s="12"/>
      <c r="AS91" s="86" t="s">
        <v>68</v>
      </c>
      <c r="AU91" s="1" t="s">
        <v>159</v>
      </c>
    </row>
    <row r="92" spans="24:47" ht="12.75" hidden="1">
      <c r="X92" s="7">
        <v>2</v>
      </c>
      <c r="Y92" s="7">
        <v>1</v>
      </c>
      <c r="Z92" s="12">
        <f>IF($L$18&lt;2,"",IF(ROUND(AF81,0)=0,"",$L$19))</f>
      </c>
      <c r="AA92" s="65">
        <f>IF(Z92&lt;0.5,0,IF(Z92="",0,IF(AB81=0,$J$8,AB81)))</f>
        <v>0</v>
      </c>
      <c r="AB92" s="65">
        <f aca="true" t="shared" si="19" ref="AB92:AB101">IF(Z92="",0,IF(Z92&lt;0.5,0,IF(Z92&lt;=AF81,AA92+Z92*V62,L8)))</f>
        <v>0</v>
      </c>
      <c r="AC92" s="12">
        <f aca="true" t="shared" si="20" ref="AC92:AC101">ABS(AB92-AA92)</f>
        <v>0</v>
      </c>
      <c r="AD92">
        <f>IF(N8=0,"",IF(Z92="","",IF(ROUND(AC92-N8,0)=0,"LOT 2",IF(Z92&lt;0.5,"",IF(AB92-AA92&lt;N8,"PARTIAL","NOT")))))</f>
      </c>
      <c r="AF92" s="12">
        <f>IF(Z92="",0,$N$8-AC92-AC81)</f>
        <v>0</v>
      </c>
      <c r="AG92" s="7" t="s">
        <v>46</v>
      </c>
      <c r="AH92" s="12">
        <f>IF(AC92=0,"",J27)</f>
      </c>
      <c r="AI92" s="12">
        <f>IF(AC92=0,"",IF(AC92&gt;=AH92,AH92,AC92))</f>
      </c>
      <c r="AJ92" s="65">
        <f>IF(AH92="","",IF(AI92=AC92,"",AA92+AI92*V62))</f>
      </c>
      <c r="AK92" s="7" t="s">
        <v>46</v>
      </c>
      <c r="AL92" s="12">
        <f>IF(AC92=0,"",$J$28)</f>
      </c>
      <c r="AM92" s="12">
        <f>IF(AC92=0,"",IF(AC92&gt;=AL92,AL92,AC92))</f>
      </c>
      <c r="AN92" s="65">
        <f>IF(AL92="","",IF(AM92=AC92,"",AA92+AM92*V62))</f>
      </c>
      <c r="AO92" s="7" t="s">
        <v>46</v>
      </c>
      <c r="AS92" s="86" t="s">
        <v>260</v>
      </c>
      <c r="AU92" s="1" t="s">
        <v>160</v>
      </c>
    </row>
    <row r="93" spans="24:47" ht="12.75" hidden="1">
      <c r="X93" s="7"/>
      <c r="Y93" s="7">
        <v>2</v>
      </c>
      <c r="Z93" s="12">
        <f aca="true" t="shared" si="21" ref="Z93:Z101">IF(ROUND(AF82,0)=0,"",IF(Z92="",$L$19,ABS(Z92-AC92)))</f>
      </c>
      <c r="AA93" s="65">
        <f>IF(Z93&lt;0.5,0,IF(Z93="",0,IF(AB82=0,$J$9,AB82)))</f>
        <v>0</v>
      </c>
      <c r="AB93" s="65">
        <f t="shared" si="19"/>
        <v>0</v>
      </c>
      <c r="AC93" s="12">
        <f t="shared" si="20"/>
        <v>0</v>
      </c>
      <c r="AD93">
        <f>IF(N9=0,"",IF(Z93="","",IF(ROUND(AC93-N9,0)=0,"LOT 2",IF(Z93&lt;0.5,"",IF(AB93-AA93&lt;N9,"PARTIAL","NOT")))))</f>
      </c>
      <c r="AF93" s="12">
        <f>IF(Z93="",0,$N$9-AC93-AC82)</f>
        <v>0</v>
      </c>
      <c r="AG93" s="7" t="s">
        <v>49</v>
      </c>
      <c r="AH93" s="12">
        <f>IF(AC93=0,"",IF(AI92="",$J$27,IF(AJ92="",AH92-AI92,"")))</f>
      </c>
      <c r="AI93" s="12">
        <f aca="true" t="shared" si="22" ref="AI93:AI101">IF(AH93="","",IF(AC93&gt;=AH93,AH93,AC93))</f>
      </c>
      <c r="AJ93" s="65">
        <f aca="true" t="shared" si="23" ref="AJ93:AJ101">IF(AH93="","",IF(ROUND(AI93-AH93,0)=0,AA93+AI93*V63,IF(AI93=AC93,"",AA93+AI93*V63)))</f>
      </c>
      <c r="AK93" s="7" t="s">
        <v>49</v>
      </c>
      <c r="AL93" s="12">
        <f>IF(AC93=0,"",IF(AM92="",$J$28,IF(AN92="",AL92-AM92,"")))</f>
      </c>
      <c r="AM93" s="12">
        <f aca="true" t="shared" si="24" ref="AM93:AM101">IF(AL93="","",IF(AC93&gt;=AL93,AL93,AC93))</f>
      </c>
      <c r="AN93" s="65">
        <f aca="true" t="shared" si="25" ref="AN93:AN101">IF(AL93="","",IF(ROUND(AM93-AL93,0)=0,AA93+AM93*V63,IF(AM93=AC93,"",AA93+AM93*V63)))</f>
      </c>
      <c r="AO93" s="7" t="s">
        <v>49</v>
      </c>
      <c r="AS93" s="86" t="s">
        <v>73</v>
      </c>
      <c r="AU93" s="1" t="s">
        <v>161</v>
      </c>
    </row>
    <row r="94" spans="24:47" ht="12.75" hidden="1">
      <c r="X94" s="7"/>
      <c r="Y94" s="7">
        <v>3</v>
      </c>
      <c r="Z94" s="12">
        <f t="shared" si="21"/>
      </c>
      <c r="AA94" s="65">
        <f>IF(Z94&lt;0.5,0,IF(Z94="",0,IF(AB83=0,$J$10,AB83)))</f>
        <v>0</v>
      </c>
      <c r="AB94" s="65">
        <f t="shared" si="19"/>
        <v>0</v>
      </c>
      <c r="AC94" s="12">
        <f t="shared" si="20"/>
        <v>0</v>
      </c>
      <c r="AD94">
        <f>IF(N10=0,"",IF(Z94="","",IF(ROUND(AC94-N10,0)=0,"LOT2",IF(Z94&lt;0.5,"",IF(AB94-AA94&lt;N10,"PARTIAL","NOT")))))</f>
      </c>
      <c r="AF94" s="12">
        <f>IF(Z94="",0,$N$10-AC94-AC83)</f>
        <v>0</v>
      </c>
      <c r="AG94" s="7" t="s">
        <v>54</v>
      </c>
      <c r="AH94" s="12">
        <f>IF(AC94=0,"",IF(AND(AI92="",AI93=""),$J$27,IF(AND(AJ92="",AJ93=""),AH93-AI93,"")))</f>
      </c>
      <c r="AI94" s="12">
        <f t="shared" si="22"/>
      </c>
      <c r="AJ94" s="65">
        <f t="shared" si="23"/>
      </c>
      <c r="AK94" s="7" t="s">
        <v>54</v>
      </c>
      <c r="AL94" s="12">
        <f>IF(AC94=0,"",IF(AND(AM92="",AM93=""),$J$28,IF(AND(AN92="",AN93=""),AL93-AM93,"")))</f>
      </c>
      <c r="AM94" s="12">
        <f t="shared" si="24"/>
      </c>
      <c r="AN94" s="65">
        <f t="shared" si="25"/>
      </c>
      <c r="AO94" s="7" t="s">
        <v>54</v>
      </c>
      <c r="AS94" s="86" t="s">
        <v>261</v>
      </c>
      <c r="AU94" s="1" t="s">
        <v>162</v>
      </c>
    </row>
    <row r="95" spans="22:47" ht="12.75" hidden="1">
      <c r="V95" s="7"/>
      <c r="X95" s="7"/>
      <c r="Y95" s="7">
        <v>4</v>
      </c>
      <c r="Z95" s="12">
        <f t="shared" si="21"/>
      </c>
      <c r="AA95" s="65">
        <f>IF(Z95&lt;0.5,0,IF(Z95="",0,IF(AB84=0,$J$11,AB84)))</f>
        <v>0</v>
      </c>
      <c r="AB95" s="65">
        <f t="shared" si="19"/>
        <v>0</v>
      </c>
      <c r="AC95" s="12">
        <f t="shared" si="20"/>
        <v>0</v>
      </c>
      <c r="AD95">
        <f aca="true" t="shared" si="26" ref="AD95:AD101">IF(N11=0,"",IF(Z95="","",IF(ROUND(AC95-N11,0)=0,"LOT 2",IF(Z95&lt;0.5,"",IF(AB95-AA95&lt;N11,"PARTIAL","NOT")))))</f>
      </c>
      <c r="AF95" s="12">
        <f>IF(Z95="",0,$N$11-AC95-AC84)</f>
        <v>0</v>
      </c>
      <c r="AG95" s="7" t="s">
        <v>56</v>
      </c>
      <c r="AH95" s="12">
        <f>IF(AC95=0,"",IF(AND(AI92="",AI93="",AI94=""),$J$27,IF(AND(AJ92="",AJ93="",AJ94=""),AH94-AI94,"")))</f>
      </c>
      <c r="AI95" s="12">
        <f t="shared" si="22"/>
      </c>
      <c r="AJ95" s="65">
        <f t="shared" si="23"/>
      </c>
      <c r="AK95" s="7" t="s">
        <v>56</v>
      </c>
      <c r="AL95" s="12">
        <f>IF(AC95=0,"",IF(AND(AM92="",AM93="",AM94=""),$J$28,IF(AND(AN92="",AN93="",AN94=""),AL94-AM94,"")))</f>
      </c>
      <c r="AM95" s="12">
        <f t="shared" si="24"/>
      </c>
      <c r="AN95" s="65">
        <f t="shared" si="25"/>
      </c>
      <c r="AO95" s="7" t="s">
        <v>56</v>
      </c>
      <c r="AS95" s="255" t="s">
        <v>259</v>
      </c>
      <c r="AU95" s="1" t="s">
        <v>163</v>
      </c>
    </row>
    <row r="96" spans="24:47" ht="12.75" hidden="1">
      <c r="X96" s="7"/>
      <c r="Y96" s="7">
        <v>5</v>
      </c>
      <c r="Z96" s="12">
        <f t="shared" si="21"/>
      </c>
      <c r="AA96" s="65">
        <f>IF(Z96&lt;0.5,0,IF(Z96="",0,IF(AB85=0,$J$12,AB85)))</f>
        <v>0</v>
      </c>
      <c r="AB96" s="65">
        <f t="shared" si="19"/>
        <v>0</v>
      </c>
      <c r="AC96" s="12">
        <f t="shared" si="20"/>
        <v>0</v>
      </c>
      <c r="AD96">
        <f t="shared" si="26"/>
      </c>
      <c r="AF96" s="12">
        <f>IF(Z96="",0,$N$12-AC96-AC85)</f>
        <v>0</v>
      </c>
      <c r="AG96" s="7" t="s">
        <v>58</v>
      </c>
      <c r="AH96" s="12">
        <f>IF(AC96=0,"",IF(AND(AI92="",AI93="",AI94="",AI95=""),$J$27,IF(AND(AJ92="",AJ93="",AJ94="",AJ95=""),AH95-AI95,"")))</f>
      </c>
      <c r="AI96" s="12">
        <f t="shared" si="22"/>
      </c>
      <c r="AJ96" s="65">
        <f t="shared" si="23"/>
      </c>
      <c r="AK96" s="7" t="s">
        <v>58</v>
      </c>
      <c r="AL96" s="12">
        <f>IF(AC96=0,"",IF(AND(AM92="",AM93="",AM94="",AM95=""),$J$28,IF(AND(AN92="",AN93="",AN94="",AN95=""),AL95-AM95,"")))</f>
      </c>
      <c r="AM96" s="12">
        <f t="shared" si="24"/>
      </c>
      <c r="AN96" s="65">
        <f t="shared" si="25"/>
      </c>
      <c r="AO96" s="7" t="s">
        <v>58</v>
      </c>
      <c r="AS96" s="255" t="s">
        <v>262</v>
      </c>
      <c r="AU96" s="1" t="s">
        <v>164</v>
      </c>
    </row>
    <row r="97" spans="24:47" ht="12.75" hidden="1">
      <c r="X97" s="7"/>
      <c r="Y97" s="7">
        <v>6</v>
      </c>
      <c r="Z97" s="12">
        <f t="shared" si="21"/>
      </c>
      <c r="AA97" s="65">
        <f>IF(Z97&lt;0.5,0,IF(Z97="",0,IF(AB86=0,$J$13,AB86)))</f>
        <v>0</v>
      </c>
      <c r="AB97" s="65">
        <f t="shared" si="19"/>
        <v>0</v>
      </c>
      <c r="AC97" s="12">
        <f t="shared" si="20"/>
        <v>0</v>
      </c>
      <c r="AD97">
        <f t="shared" si="26"/>
      </c>
      <c r="AF97" s="12">
        <f>IF(Z97="",0,$N$13-AC97-AC86)</f>
        <v>0</v>
      </c>
      <c r="AG97" s="7" t="s">
        <v>61</v>
      </c>
      <c r="AH97" s="12">
        <f>IF(AC97=0,"",IF(AND(AI92="",AI93="",AI94="",AI95="",AI96=""),$J$27,IF(AND(AJ92="",AJ93="",AJ94="",AJ95="",AJ96=""),AH96-AI96,"")))</f>
      </c>
      <c r="AI97" s="12">
        <f t="shared" si="22"/>
      </c>
      <c r="AJ97" s="65">
        <f t="shared" si="23"/>
      </c>
      <c r="AK97" s="7" t="s">
        <v>61</v>
      </c>
      <c r="AL97" s="12">
        <f>IF(AC97=0,"",IF(AND(AM92="",AM93="",AM94="",AM95="",AM96=""),$J$28,IF(AND(AN92="",AN93="",AN94="",AN95="",AN96=""),AL96-AM96,"")))</f>
      </c>
      <c r="AM97" s="12">
        <f t="shared" si="24"/>
      </c>
      <c r="AN97" s="65">
        <f t="shared" si="25"/>
      </c>
      <c r="AO97" s="7" t="s">
        <v>61</v>
      </c>
      <c r="AU97" s="1" t="s">
        <v>165</v>
      </c>
    </row>
    <row r="98" spans="24:47" ht="12.75" hidden="1">
      <c r="X98" s="7"/>
      <c r="Y98" s="7">
        <v>7</v>
      </c>
      <c r="Z98" s="12">
        <f t="shared" si="21"/>
      </c>
      <c r="AA98" s="65">
        <f>IF(Z98&lt;0.5,0,IF(Z98="",0,IF(AB87=0,$J$14,AB87)))</f>
        <v>0</v>
      </c>
      <c r="AB98" s="65">
        <f t="shared" si="19"/>
        <v>0</v>
      </c>
      <c r="AC98" s="12">
        <f t="shared" si="20"/>
        <v>0</v>
      </c>
      <c r="AD98">
        <f t="shared" si="26"/>
      </c>
      <c r="AF98" s="12">
        <f>IF(Z98="",0,$N$14-AC98-AC87)</f>
        <v>0</v>
      </c>
      <c r="AG98" s="7" t="s">
        <v>237</v>
      </c>
      <c r="AH98" s="12">
        <f>IF(AC98=0,"",IF(AND(AI92="",AI93="",AI94="",AI95="",AI96="",AI97=""),$J$27,IF(AND(AJ92="",AJ93="",AJ94="",AJ95="",AJ96="",AJ97=""),AH97-AI97,"")))</f>
      </c>
      <c r="AI98" s="12">
        <f t="shared" si="22"/>
      </c>
      <c r="AJ98" s="65">
        <f t="shared" si="23"/>
      </c>
      <c r="AK98" s="7" t="s">
        <v>237</v>
      </c>
      <c r="AL98" s="12">
        <f>IF(AC98=0,"",IF(AND(AM92="",AM93="",AM94="",AM95="",AM96="",AM97=""),$J$28,IF(AND(AN92="",AN93="",AN94="",AN95="",AN96="",AN97=""),AL97-AM97,"")))</f>
      </c>
      <c r="AM98" s="12">
        <f t="shared" si="24"/>
      </c>
      <c r="AN98" s="65">
        <f t="shared" si="25"/>
      </c>
      <c r="AO98" s="7" t="s">
        <v>237</v>
      </c>
      <c r="AU98" s="1" t="s">
        <v>166</v>
      </c>
    </row>
    <row r="99" spans="18:47" ht="12.75" hidden="1">
      <c r="R99" s="44"/>
      <c r="X99" s="7"/>
      <c r="Y99" s="7">
        <v>8</v>
      </c>
      <c r="Z99" s="12">
        <f t="shared" si="21"/>
      </c>
      <c r="AA99" s="65">
        <f>IF(Z99&lt;0.5,0,IF(Z99="",0,IF(AB88=0,$J$15,AB88)))</f>
        <v>0</v>
      </c>
      <c r="AB99" s="65">
        <f t="shared" si="19"/>
        <v>0</v>
      </c>
      <c r="AC99" s="12">
        <f t="shared" si="20"/>
        <v>0</v>
      </c>
      <c r="AD99">
        <f t="shared" si="26"/>
      </c>
      <c r="AF99" s="12">
        <f>IF(Z99="",0,$N$15-AC99-AC88)</f>
        <v>0</v>
      </c>
      <c r="AG99" s="7" t="s">
        <v>238</v>
      </c>
      <c r="AH99" s="12">
        <f>IF(AC99=0,"",IF(AND(AI92="",AI93="",AI94="",AI95="",AI96="",AI97="",AI98=""),$J$27,IF(AND(AJ92="",AJ93="",AJ94="",AJ95="",AJ96="",AJ97="",AJ98=""),AH98-AI98,"")))</f>
      </c>
      <c r="AI99" s="12">
        <f t="shared" si="22"/>
      </c>
      <c r="AJ99" s="65">
        <f t="shared" si="23"/>
      </c>
      <c r="AK99" s="7" t="s">
        <v>238</v>
      </c>
      <c r="AL99" s="12">
        <f>IF(AC99=0,"",IF(AND(AM92="",AM93="",AM94="",AM95="",AM96="",AM97="",AM98=""),$J$28,IF(AND(AN92="",AN93="",AN94="",AN95="",AN96="",AN97="",AN98=""),AL98-AM98,"")))</f>
      </c>
      <c r="AM99" s="12">
        <f t="shared" si="24"/>
      </c>
      <c r="AN99" s="65">
        <f t="shared" si="25"/>
      </c>
      <c r="AO99" s="7" t="s">
        <v>238</v>
      </c>
      <c r="AU99" s="1" t="s">
        <v>167</v>
      </c>
    </row>
    <row r="100" spans="18:47" ht="12.75" hidden="1">
      <c r="R100" s="44"/>
      <c r="X100" s="7"/>
      <c r="Y100" s="7">
        <v>9</v>
      </c>
      <c r="Z100" s="12">
        <f t="shared" si="21"/>
      </c>
      <c r="AA100" s="65">
        <f>IF(Z100&lt;0.5,0,IF(Z100="",0,IF(AB89=0,$J$16,AB89)))</f>
        <v>0</v>
      </c>
      <c r="AB100" s="65">
        <f t="shared" si="19"/>
        <v>0</v>
      </c>
      <c r="AC100" s="12">
        <f t="shared" si="20"/>
        <v>0</v>
      </c>
      <c r="AD100">
        <f t="shared" si="26"/>
      </c>
      <c r="AF100" s="12">
        <f>IF(Z100="",0,$N$16-AC100-AC89)</f>
        <v>0</v>
      </c>
      <c r="AG100" s="7" t="s">
        <v>276</v>
      </c>
      <c r="AH100" s="12">
        <f>IF(AC100=0,"",IF(AND(AI92="",AI93="",AI94="",AI95="",AI96="",AI97="",AI98="",AI99=""),$J$27,IF(AND(AJ92="",AJ93="",AJ94="",AJ95="",AJ96="",AJ97="",AJ98="",AJ99=""),AH99-AI99,"")))</f>
      </c>
      <c r="AI100" s="12">
        <f t="shared" si="22"/>
      </c>
      <c r="AJ100" s="65">
        <f t="shared" si="23"/>
      </c>
      <c r="AK100" s="7" t="s">
        <v>276</v>
      </c>
      <c r="AL100" s="12">
        <f>IF(AC100=0,"",IF(AND(AM92="",AM93="",AM94="",AM95="",AM96="",AM97="",AM98="",AM99=""),$J$28,IF(AND(AN92="",AN93="",AN94="",AN95="",AN96="",AN97="",AN98="",AN99=""),AL99-AM99,"")))</f>
      </c>
      <c r="AM100" s="12">
        <f t="shared" si="24"/>
      </c>
      <c r="AN100" s="65">
        <f t="shared" si="25"/>
      </c>
      <c r="AO100" s="7" t="s">
        <v>276</v>
      </c>
      <c r="AU100" s="1"/>
    </row>
    <row r="101" spans="18:47" ht="12.75" hidden="1">
      <c r="R101" s="44"/>
      <c r="X101" s="7"/>
      <c r="Y101" s="7">
        <v>10</v>
      </c>
      <c r="Z101" s="12">
        <f t="shared" si="21"/>
      </c>
      <c r="AA101" s="65">
        <f>IF(Z101&lt;0.5,0,IF(Z101="",0,IF(AB90=0,$J$17,AB90)))</f>
        <v>0</v>
      </c>
      <c r="AB101" s="65">
        <f t="shared" si="19"/>
        <v>0</v>
      </c>
      <c r="AC101" s="12">
        <f t="shared" si="20"/>
        <v>0</v>
      </c>
      <c r="AD101">
        <f t="shared" si="26"/>
      </c>
      <c r="AF101" s="12">
        <f>IF(Z101="",0,$N$17-AC101-AC90)</f>
        <v>0</v>
      </c>
      <c r="AG101" s="7" t="s">
        <v>296</v>
      </c>
      <c r="AH101" s="12">
        <f>IF(AC101=0,"",IF(AND(AI92="",AI93="",AI94="",AI95="",AI96="",AI97="",AI98="",AI99="",AI100=""),$J$27,IF(AND(AJ92="",AJ93="",AJ94="",AJ95="",AJ96="",AJ97="",AJ98="",AJ99="",AJ100=""),AH100-AI100,"")))</f>
      </c>
      <c r="AI101" s="12">
        <f t="shared" si="22"/>
      </c>
      <c r="AJ101" s="65">
        <f t="shared" si="23"/>
      </c>
      <c r="AK101" s="7" t="s">
        <v>296</v>
      </c>
      <c r="AL101" s="12">
        <f>IF(AC101=0,"",IF(AND(AM92="",AM93="",AM94="",AM95="",AM96="",AM97="",AM98="",AM99="",AM100=""),$J$28,IF(AND(AN92="",AN93="",AN94="",AN95="",AN96="",AN97="",AN98="",AN99="",AN100=""),AL100-AM100,"")))</f>
      </c>
      <c r="AM101" s="12">
        <f t="shared" si="24"/>
      </c>
      <c r="AN101" s="65">
        <f t="shared" si="25"/>
      </c>
      <c r="AO101" s="7" t="s">
        <v>296</v>
      </c>
      <c r="AU101" s="1"/>
    </row>
    <row r="102" spans="18:47" ht="12.75" hidden="1">
      <c r="R102" s="44"/>
      <c r="X102" s="7"/>
      <c r="Y102" s="7"/>
      <c r="Z102" s="12"/>
      <c r="AC102" s="12"/>
      <c r="AL102" s="12"/>
      <c r="AM102" s="12"/>
      <c r="AU102" s="1" t="s">
        <v>168</v>
      </c>
    </row>
    <row r="103" spans="18:47" ht="12.75" hidden="1">
      <c r="R103" s="44"/>
      <c r="X103" s="7">
        <v>3</v>
      </c>
      <c r="Y103" s="7">
        <v>1</v>
      </c>
      <c r="Z103" s="12">
        <f>IF($L$18&lt;3,"",(IF(ROUND(AF92,0)=0,"",$L$19)))</f>
      </c>
      <c r="AA103" s="65">
        <f>IF(Z103&lt;0.5,0,IF(Z103="",0,IF(AB92=0,$J$8,AB92)))</f>
        <v>0</v>
      </c>
      <c r="AB103" s="65">
        <f aca="true" t="shared" si="27" ref="AB103:AB112">IF(Z103="",0,IF(Z103&lt;0.5,0,IF(Z103&lt;=AF92,AA103+Z103*V62,L8)))</f>
        <v>0</v>
      </c>
      <c r="AC103" s="12">
        <f aca="true" t="shared" si="28" ref="AC103:AC112">ABS(AB103-AA103)</f>
        <v>0</v>
      </c>
      <c r="AD103">
        <f>IF(N8=0,"",IF(Z103="","",IF(ROUND(AC103-N8,0)=0,"LOT 3",IF(Z103&lt;0.5,"",IF(AB103-AA103&lt;N8,"PARTIAL","NOT")))))</f>
      </c>
      <c r="AF103" s="12">
        <f>IF(Z103="",0,$N$8-AC103-AC92-AC81)</f>
        <v>0</v>
      </c>
      <c r="AG103" s="7" t="s">
        <v>46</v>
      </c>
      <c r="AH103" s="12">
        <f>IF(AC103=0,"",J30)</f>
      </c>
      <c r="AI103" s="12">
        <f>IF(AC103=0,"",IF(AC103&gt;=AH103,AH103,AC103))</f>
      </c>
      <c r="AJ103" s="65">
        <f>IF(AH103="","",IF(AI103=AC103,"",AA103+AI103*V62))</f>
      </c>
      <c r="AK103" s="7" t="s">
        <v>46</v>
      </c>
      <c r="AL103" s="12">
        <f>IF(AC103=0,"",$J$31)</f>
      </c>
      <c r="AM103" s="12">
        <f>IF(AC103=0,"",IF(AC103&gt;=AL103,AL103,AC103))</f>
      </c>
      <c r="AN103" s="65">
        <f>IF(AL103="","",IF(AM103=AC103,"",AA103+AM103*V62))</f>
      </c>
      <c r="AO103" s="7" t="s">
        <v>46</v>
      </c>
      <c r="AU103" s="1" t="s">
        <v>169</v>
      </c>
    </row>
    <row r="104" spans="18:47" ht="12.75" hidden="1">
      <c r="R104" s="44"/>
      <c r="X104" s="7"/>
      <c r="Y104" s="7">
        <v>2</v>
      </c>
      <c r="Z104" s="12">
        <f aca="true" t="shared" si="29" ref="Z104:Z112">IF(ROUND(AF93,0)=0,"",IF(Z103="",$L$19,ABS(Z103-AC103)))</f>
      </c>
      <c r="AA104" s="65">
        <f>IF(Z104&lt;0.5,0,IF(Z104="",0,IF(AB93=0,$J$9,AB93)))</f>
        <v>0</v>
      </c>
      <c r="AB104" s="65">
        <f t="shared" si="27"/>
        <v>0</v>
      </c>
      <c r="AC104" s="12">
        <f t="shared" si="28"/>
        <v>0</v>
      </c>
      <c r="AD104">
        <f>IF(N9=0,"",IF(Z104="","",IF(ROUND(AC104-N9,0)=0,"LOT 3",IF(Z104&lt;0.5,"",IF(AB104-AA104&lt;N9,"PARTIAL","NOT")))))</f>
      </c>
      <c r="AF104" s="12">
        <f>IF(Z104="",0,$N$9-AC104-AC93-AC82)</f>
        <v>0</v>
      </c>
      <c r="AG104" s="7" t="s">
        <v>49</v>
      </c>
      <c r="AH104" s="12">
        <f>IF(AC104=0,"",IF(AI103="",$J$30,IF(AJ103="",AH103-AI103,"")))</f>
      </c>
      <c r="AI104" s="12">
        <f aca="true" t="shared" si="30" ref="AI104:AI112">IF(AH104="","",IF(AC104&gt;=AH104,AH104,AC104))</f>
      </c>
      <c r="AJ104" s="65">
        <f aca="true" t="shared" si="31" ref="AJ104:AJ112">IF(AH104="","",IF(ROUND(AI104-AH104,0)=0,AA104+AI104*V63,IF(AI104=AC104,"",AA104+AI104*V63)))</f>
      </c>
      <c r="AK104" s="7" t="s">
        <v>49</v>
      </c>
      <c r="AL104" s="12">
        <f>IF(AC104=0,"",IF(AM103="",$J$31,IF(AN103="",AL103-AM103,"")))</f>
      </c>
      <c r="AM104" s="12">
        <f aca="true" t="shared" si="32" ref="AM104:AM112">IF(AL104="","",IF(AC104&gt;=AL104,AL104,AC104))</f>
      </c>
      <c r="AN104" s="65">
        <f aca="true" t="shared" si="33" ref="AN104:AN112">IF(AL104="","",IF(ROUND(AM104-AL104,0)=0,AA104+AM104*V63,IF(AM104=AC104,"",AA104+AM104*V63)))</f>
      </c>
      <c r="AO104" s="7" t="s">
        <v>49</v>
      </c>
      <c r="AU104" s="1" t="s">
        <v>170</v>
      </c>
    </row>
    <row r="105" spans="18:47" ht="12.75" hidden="1">
      <c r="R105" s="44"/>
      <c r="X105" s="7"/>
      <c r="Y105" s="7">
        <v>3</v>
      </c>
      <c r="Z105" s="12">
        <f t="shared" si="29"/>
      </c>
      <c r="AA105" s="65">
        <f>IF(Z105&lt;0.5,0,IF(Z105="",0,IF(AB94=0,$J$10,AB94)))</f>
        <v>0</v>
      </c>
      <c r="AB105" s="65">
        <f t="shared" si="27"/>
        <v>0</v>
      </c>
      <c r="AC105" s="12">
        <f t="shared" si="28"/>
        <v>0</v>
      </c>
      <c r="AD105">
        <f>IF(N10=0,"",IF(Z105="","",IF(ROUND(AC105-N10,0)=0,"LOT 3",IF(Z105&lt;0.5,"",IF(AC105&lt;N10,"PARTIAL","NOT")))))</f>
      </c>
      <c r="AF105" s="12">
        <f>IF(Z105="",0,$N$10-AC105-AC94-AC83)</f>
        <v>0</v>
      </c>
      <c r="AG105" s="7" t="s">
        <v>54</v>
      </c>
      <c r="AH105" s="12">
        <f>IF(AC105=0,"",IF(AND(AI103="",AI104=""),$J$30,IF(AND(AJ103="",AJ104=""),AH104-AI104,"")))</f>
      </c>
      <c r="AI105" s="12">
        <f t="shared" si="30"/>
      </c>
      <c r="AJ105" s="65">
        <f t="shared" si="31"/>
      </c>
      <c r="AK105" s="7" t="s">
        <v>54</v>
      </c>
      <c r="AL105" s="12">
        <f>IF(AC105=0,"",IF(AND(AM103="",AM104=""),$J$31,IF(AND(AN103="",AN104=""),AL104-AM104,"")))</f>
      </c>
      <c r="AM105" s="12">
        <f t="shared" si="32"/>
      </c>
      <c r="AN105" s="65">
        <f t="shared" si="33"/>
      </c>
      <c r="AO105" s="7" t="s">
        <v>54</v>
      </c>
      <c r="AU105" s="1" t="s">
        <v>171</v>
      </c>
    </row>
    <row r="106" spans="18:47" ht="12.75" hidden="1">
      <c r="R106" s="44"/>
      <c r="X106" s="7"/>
      <c r="Y106" s="7">
        <v>4</v>
      </c>
      <c r="Z106" s="12">
        <f t="shared" si="29"/>
      </c>
      <c r="AA106" s="65">
        <f>IF(Z106&lt;0.5,0,IF(Z106="",0,IF(AB95=0,$J$11,AB95)))</f>
        <v>0</v>
      </c>
      <c r="AB106" s="65">
        <f t="shared" si="27"/>
        <v>0</v>
      </c>
      <c r="AC106" s="12">
        <f t="shared" si="28"/>
        <v>0</v>
      </c>
      <c r="AD106">
        <f aca="true" t="shared" si="34" ref="AD106:AD112">IF(N11=0,"",IF(Z106="","",IF(ROUND(AC106-N11,0)=0,"LOT 3",IF(Z106&lt;0.5,"",IF(AB106-AA106&lt;N11,"PARTIAL","NOT")))))</f>
      </c>
      <c r="AF106" s="12">
        <f>IF(Z106="",0,$N$11-AC106-AC95-AC84)</f>
        <v>0</v>
      </c>
      <c r="AG106" s="7" t="s">
        <v>56</v>
      </c>
      <c r="AH106" s="12">
        <f>IF(AC106=0,"",IF(AND(AI103="",AI104="",AI105=""),$J$30,IF(AND(AJ103="",AJ104="",AJ105=""),AH105-AI105,"")))</f>
      </c>
      <c r="AI106" s="12">
        <f t="shared" si="30"/>
      </c>
      <c r="AJ106" s="65">
        <f t="shared" si="31"/>
      </c>
      <c r="AK106" s="7" t="s">
        <v>56</v>
      </c>
      <c r="AL106" s="12">
        <f>IF(AC106=0,"",IF(AND(AM103="",AM104="",AM105=""),$J$31,IF(AND(AN103="",AN104="",AN105=""),AL105-AM105,"")))</f>
      </c>
      <c r="AM106" s="12">
        <f t="shared" si="32"/>
      </c>
      <c r="AN106" s="65">
        <f t="shared" si="33"/>
      </c>
      <c r="AO106" s="7" t="s">
        <v>56</v>
      </c>
      <c r="AU106" s="1" t="s">
        <v>172</v>
      </c>
    </row>
    <row r="107" spans="18:47" ht="12.75" hidden="1">
      <c r="R107" s="44"/>
      <c r="X107" s="7"/>
      <c r="Y107" s="7">
        <v>5</v>
      </c>
      <c r="Z107" s="12">
        <f t="shared" si="29"/>
      </c>
      <c r="AA107" s="65">
        <f>IF(Z107&lt;0.5,0,IF(Z107="",0,IF(AB96=0,$J$12,AB96)))</f>
        <v>0</v>
      </c>
      <c r="AB107" s="65">
        <f t="shared" si="27"/>
        <v>0</v>
      </c>
      <c r="AC107" s="12">
        <f t="shared" si="28"/>
        <v>0</v>
      </c>
      <c r="AD107">
        <f t="shared" si="34"/>
      </c>
      <c r="AF107" s="12">
        <f>IF(Z107="",0,$N$12-AC107-AC96-AC85)</f>
        <v>0</v>
      </c>
      <c r="AG107" s="7" t="s">
        <v>58</v>
      </c>
      <c r="AH107" s="12">
        <f>IF(AC107=0,"",IF(AND(AI103="",AI104="",AI105="",AI106=""),$J$30,IF(AND(AJ103="",AJ104="",AJ105="",AJ106=""),AH106-AI106,"")))</f>
      </c>
      <c r="AI107" s="12">
        <f t="shared" si="30"/>
      </c>
      <c r="AJ107" s="65">
        <f t="shared" si="31"/>
      </c>
      <c r="AK107" s="7" t="s">
        <v>58</v>
      </c>
      <c r="AL107" s="12">
        <f>IF(AC107=0,"",IF(AND(AM103="",AM104="",AM105="",AM106=""),$J$31,IF(AND(AN103="",AN104="",AN105="",AN106=""),AL106-AM106,"")))</f>
      </c>
      <c r="AM107" s="12">
        <f t="shared" si="32"/>
      </c>
      <c r="AN107" s="65">
        <f t="shared" si="33"/>
      </c>
      <c r="AO107" s="7" t="s">
        <v>58</v>
      </c>
      <c r="AU107" s="1" t="s">
        <v>173</v>
      </c>
    </row>
    <row r="108" spans="18:47" ht="12.75" hidden="1">
      <c r="R108" s="44"/>
      <c r="X108" s="7"/>
      <c r="Y108" s="7">
        <v>6</v>
      </c>
      <c r="Z108" s="12">
        <f t="shared" si="29"/>
      </c>
      <c r="AA108" s="65">
        <f>IF(Z108&lt;0.5,0,IF(Z108="",0,IF(AB97=0,$J$13,AB97)))</f>
        <v>0</v>
      </c>
      <c r="AB108" s="65">
        <f t="shared" si="27"/>
        <v>0</v>
      </c>
      <c r="AC108" s="12">
        <f t="shared" si="28"/>
        <v>0</v>
      </c>
      <c r="AD108">
        <f t="shared" si="34"/>
      </c>
      <c r="AF108" s="12">
        <f>IF(Z108="",0,$N$13-AC108-AC97-AC86)</f>
        <v>0</v>
      </c>
      <c r="AG108" s="7" t="s">
        <v>61</v>
      </c>
      <c r="AH108" s="12">
        <f>IF(AC108=0,"",IF(AND(AI103="",AI104="",AI105="",AI106="",AI107=""),$J$30,IF(AND(AJ103="",AJ104="",AJ105="",AJ106="",AJ107=""),AH107-AI107,"")))</f>
      </c>
      <c r="AI108" s="12">
        <f t="shared" si="30"/>
      </c>
      <c r="AJ108" s="65">
        <f t="shared" si="31"/>
      </c>
      <c r="AK108" s="7" t="s">
        <v>61</v>
      </c>
      <c r="AL108" s="12">
        <f>IF(AC108=0,"",IF(AND(AM103="",AM104="",AM105="",AM106="",AM107=""),$J$31,IF(AND(AN103="",AN104="",AN105="",AN106="",AN107=""),AL107-AM107,"")))</f>
      </c>
      <c r="AM108" s="12">
        <f t="shared" si="32"/>
      </c>
      <c r="AN108" s="65">
        <f t="shared" si="33"/>
      </c>
      <c r="AO108" s="7" t="s">
        <v>61</v>
      </c>
      <c r="AU108" s="1"/>
    </row>
    <row r="109" spans="18:47" ht="12.75" hidden="1">
      <c r="R109" s="44"/>
      <c r="X109" s="7"/>
      <c r="Y109" s="7">
        <v>7</v>
      </c>
      <c r="Z109" s="12">
        <f t="shared" si="29"/>
      </c>
      <c r="AA109" s="65">
        <f>IF(Z109&lt;0.5,0,IF(Z109="",0,IF(AB98=0,$J$14,AB98)))</f>
        <v>0</v>
      </c>
      <c r="AB109" s="65">
        <f t="shared" si="27"/>
        <v>0</v>
      </c>
      <c r="AC109" s="12">
        <f t="shared" si="28"/>
        <v>0</v>
      </c>
      <c r="AD109">
        <f t="shared" si="34"/>
      </c>
      <c r="AF109" s="12">
        <f>IF(Z109="",0,$N$14-AC109-AC98-AC87)</f>
        <v>0</v>
      </c>
      <c r="AG109" s="7" t="s">
        <v>237</v>
      </c>
      <c r="AH109" s="12">
        <f>IF(AC109=0,"",IF(AND(AI103="",AI104="",AI105="",AI106="",AI107="",AI108=""),$J$30,IF(AND(AJ103="",AJ104="",AJ105="",AJ106="",AJ107="",AJ108=""),AH108-AI108,"")))</f>
      </c>
      <c r="AI109" s="12">
        <f t="shared" si="30"/>
      </c>
      <c r="AJ109" s="65">
        <f t="shared" si="31"/>
      </c>
      <c r="AK109" s="7" t="s">
        <v>237</v>
      </c>
      <c r="AL109" s="12">
        <f>IF(AC109=0,"",IF(AND(AM103="",AM104="",AM105="",AM106="",AM107="",AM108=""),$J$31,IF(AND(AN103="",AN104="",AN105="",AN106="",AN107="",AN108=""),AL108-AM108,"")))</f>
      </c>
      <c r="AM109" s="12">
        <f t="shared" si="32"/>
      </c>
      <c r="AN109" s="65">
        <f t="shared" si="33"/>
      </c>
      <c r="AO109" s="7" t="s">
        <v>237</v>
      </c>
      <c r="AU109" s="1"/>
    </row>
    <row r="110" spans="18:47" ht="12.75" hidden="1">
      <c r="R110" s="44"/>
      <c r="X110" s="7"/>
      <c r="Y110" s="7">
        <v>8</v>
      </c>
      <c r="Z110" s="12">
        <f t="shared" si="29"/>
      </c>
      <c r="AA110" s="65">
        <f>IF(Z110&lt;0.5,0,IF(Z110="",0,IF(AB99=0,$J$15,AB99)))</f>
        <v>0</v>
      </c>
      <c r="AB110" s="65">
        <f t="shared" si="27"/>
        <v>0</v>
      </c>
      <c r="AC110" s="12">
        <f t="shared" si="28"/>
        <v>0</v>
      </c>
      <c r="AD110">
        <f t="shared" si="34"/>
      </c>
      <c r="AF110" s="12">
        <f>IF(Z110="",0,$N$15-AC110-AC99-AC88)</f>
        <v>0</v>
      </c>
      <c r="AG110" s="7" t="s">
        <v>238</v>
      </c>
      <c r="AH110" s="12">
        <f>IF(AC110=0,"",IF(AND(AI103="",AI104="",AI105="",AI106="",AI107="",AI108="",AI109=""),$J$30,IF(AND(AJ103="",AJ104="",AJ105="",AJ106="",AJ107="",AJ108="",AJ109=""),AH109-AI109,"")))</f>
      </c>
      <c r="AI110" s="12">
        <f t="shared" si="30"/>
      </c>
      <c r="AJ110" s="65">
        <f t="shared" si="31"/>
      </c>
      <c r="AK110" s="7" t="s">
        <v>238</v>
      </c>
      <c r="AL110" s="12">
        <f>IF(AC110=0,"",IF(AND(AM103="",AM104="",AM105="",AM106="",AM107="",AM108="",AM109=""),$J$31,IF(AND(AN103="",AN104="",AN105="",AN106="",AN107="",AN108="",AN109=""),AL109-AM109,"")))</f>
      </c>
      <c r="AM110" s="12">
        <f t="shared" si="32"/>
      </c>
      <c r="AN110" s="65">
        <f t="shared" si="33"/>
      </c>
      <c r="AO110" s="7" t="s">
        <v>238</v>
      </c>
      <c r="AU110" s="1" t="s">
        <v>174</v>
      </c>
    </row>
    <row r="111" spans="18:47" ht="12.75" hidden="1">
      <c r="R111" s="44"/>
      <c r="X111" s="7"/>
      <c r="Y111" s="7">
        <v>9</v>
      </c>
      <c r="Z111" s="12">
        <f t="shared" si="29"/>
      </c>
      <c r="AA111" s="65">
        <f>IF(Z111&lt;0.5,0,IF(Z111="",0,IF(AB100=0,$J$16,AB100)))</f>
        <v>0</v>
      </c>
      <c r="AB111" s="65">
        <f t="shared" si="27"/>
        <v>0</v>
      </c>
      <c r="AC111" s="12">
        <f t="shared" si="28"/>
        <v>0</v>
      </c>
      <c r="AD111">
        <f t="shared" si="34"/>
      </c>
      <c r="AF111" s="12">
        <f>IF(Z111="",0,$N$16-AC111-AC100-AC89)</f>
        <v>0</v>
      </c>
      <c r="AG111" s="7" t="s">
        <v>276</v>
      </c>
      <c r="AH111" s="12">
        <f>IF(AC111=0,"",IF(AND(AI103="",AI104="",AI105="",AI106="",AI107="",AI108="",AI109="",AI110=""),$J$30,IF(AND(AJ103="",AJ104="",AJ105="",AJ106="",AJ107="",AJ108="",AJ109="",AJ110=""),AH110-AI110,"")))</f>
      </c>
      <c r="AI111" s="12">
        <f t="shared" si="30"/>
      </c>
      <c r="AJ111" s="65">
        <f t="shared" si="31"/>
      </c>
      <c r="AK111" s="7" t="s">
        <v>276</v>
      </c>
      <c r="AL111" s="12">
        <f>IF(AC111=0,"",IF(AND(AM103="",AM104="",AM105="",AM106="",AM107="",AM108="",AM109="",AM110=""),$J$31,IF(AND(AN103="",AN104="",AN105="",AN106="",AN107="",AN108="",AN109="",AN110=""),AL110-AM110,"")))</f>
      </c>
      <c r="AM111" s="12">
        <f t="shared" si="32"/>
      </c>
      <c r="AN111" s="65">
        <f t="shared" si="33"/>
      </c>
      <c r="AO111" s="7" t="s">
        <v>276</v>
      </c>
      <c r="AU111" s="1"/>
    </row>
    <row r="112" spans="18:47" ht="12.75" hidden="1">
      <c r="R112" s="44"/>
      <c r="X112" s="7"/>
      <c r="Y112" s="7">
        <v>10</v>
      </c>
      <c r="Z112" s="12">
        <f t="shared" si="29"/>
      </c>
      <c r="AA112" s="65">
        <f>IF(Z112&lt;0.5,0,IF(Z112="",0,IF(AB101=0,$J$17,AB101)))</f>
        <v>0</v>
      </c>
      <c r="AB112" s="65">
        <f t="shared" si="27"/>
        <v>0</v>
      </c>
      <c r="AC112" s="12">
        <f t="shared" si="28"/>
        <v>0</v>
      </c>
      <c r="AD112">
        <f t="shared" si="34"/>
      </c>
      <c r="AF112" s="12">
        <f>IF(Z112="",0,$N$17-AC112-AC101-AC90)</f>
        <v>0</v>
      </c>
      <c r="AG112" s="7" t="s">
        <v>296</v>
      </c>
      <c r="AH112" s="12">
        <f>IF(AC112=0,"",IF(AND(AI103="",AI104="",AI105="",AI106="",AI107="",AI108="",AI109="",AI110="",AI111=""),$J$30,IF(AND(AJ103="",AJ104="",AJ105="",AJ106="",AJ107="",AJ108="",AJ109="",AJ110="",AJ111=""),AH111-AI111,"")))</f>
      </c>
      <c r="AI112" s="12">
        <f t="shared" si="30"/>
      </c>
      <c r="AJ112" s="65">
        <f t="shared" si="31"/>
      </c>
      <c r="AK112" s="7" t="s">
        <v>296</v>
      </c>
      <c r="AL112" s="12">
        <f>IF(AC112=0,"",IF(AND(AM103="",AM104="",AM105="",AM106="",AM107="",AM108="",AM109="",AM110="",AM111=""),$J$31,IF(AND(AN103="",AN104="",AN105="",AN106="",AN107="",AN108="",AN109="",AN110="",AN111=""),AL111-AM111,"")))</f>
      </c>
      <c r="AM112" s="12">
        <f t="shared" si="32"/>
      </c>
      <c r="AN112" s="65">
        <f t="shared" si="33"/>
      </c>
      <c r="AO112" s="7" t="s">
        <v>296</v>
      </c>
      <c r="AU112" s="1"/>
    </row>
    <row r="113" spans="18:47" ht="12.75" hidden="1">
      <c r="R113" s="44"/>
      <c r="U113" s="7"/>
      <c r="V113" s="7">
        <f>IF(L18&lt;7,"",VLOOKUP(10000000,$AJ$147:$AK$152,2))</f>
      </c>
      <c r="W113" s="65">
        <f>IF(V113="","",VLOOKUP(V113,$AG$147:$AJ$152,4))</f>
      </c>
      <c r="X113" s="7"/>
      <c r="Y113" s="7"/>
      <c r="Z113" s="12"/>
      <c r="AU113" s="1" t="s">
        <v>175</v>
      </c>
    </row>
    <row r="114" spans="18:47" ht="12.75" hidden="1">
      <c r="R114" s="44"/>
      <c r="U114" s="7"/>
      <c r="V114" s="7">
        <f>IF(L18&lt;7,"",VLOOKUP(10000000,$AN$147:$AO$152,2))</f>
      </c>
      <c r="W114" s="65">
        <f>IF(V114="","",VLOOKUP(V114,$AK$147:$AN$152,4))</f>
      </c>
      <c r="X114" s="7">
        <v>4</v>
      </c>
      <c r="Y114" s="7">
        <v>1</v>
      </c>
      <c r="Z114" s="12">
        <f>IF($L$18&lt;4,"",(IF(ROUND(AF103,0)=0,"",$L$19)))</f>
      </c>
      <c r="AA114" s="65">
        <f>IF(Z114&lt;0.5,0,IF(Z114="",0,IF(AB103=0,$J$8,AB103)))</f>
        <v>0</v>
      </c>
      <c r="AB114" s="65">
        <f>IF(Z114="",0,IF(Z114&lt;0.5,0,IF(Z114&lt;=AF103,AA114+Z114*V62,$L$8)))</f>
        <v>0</v>
      </c>
      <c r="AC114" s="12">
        <f aca="true" t="shared" si="35" ref="AC114:AC123">ABS(AB114-AA114)</f>
        <v>0</v>
      </c>
      <c r="AD114">
        <f>IF($N$8=0,"",IF(Z114="","",IF(ROUND(AC114-$N$8,0)=0,"LOT 4",IF(Z114&lt;0.5,"",IF(AB114-AA114&lt;$N$8,"PARTIAL","NOT")))))</f>
      </c>
      <c r="AF114" s="12">
        <f>IF(Z114="",0,$N$8-AC114-AC103-AC92-AC81)</f>
        <v>0</v>
      </c>
      <c r="AG114" s="7" t="s">
        <v>46</v>
      </c>
      <c r="AH114" s="12">
        <f>IF(AC114=0,"",J33)</f>
      </c>
      <c r="AI114" s="12">
        <f>IF(AC114=0,"",IF(AC114&gt;=AH114,AH114,AC114))</f>
      </c>
      <c r="AJ114" s="65">
        <f>IF(AH114="","",IF(AI114=AC114,"",AA114+AI114*V62))</f>
      </c>
      <c r="AK114" s="7" t="s">
        <v>46</v>
      </c>
      <c r="AL114" s="12">
        <f>IF(AC114=0,"",$J$34)</f>
      </c>
      <c r="AM114" s="12">
        <f>IF(AC114=0,"",IF(AC114&gt;=AL114,AL114,AC114))</f>
      </c>
      <c r="AN114" s="65">
        <f>IF(AL114="","",IF(AM114=AC114,"",AA114+AM114*V62))</f>
      </c>
      <c r="AO114" s="7" t="s">
        <v>46</v>
      </c>
      <c r="AU114" s="1"/>
    </row>
    <row r="115" spans="18:47" ht="12.75" hidden="1">
      <c r="R115" s="44"/>
      <c r="V115" s="7"/>
      <c r="X115" s="7"/>
      <c r="Y115" s="7">
        <v>2</v>
      </c>
      <c r="Z115" s="12">
        <f aca="true" t="shared" si="36" ref="Z115:Z123">IF(ROUND(AF104,0)=0,"",IF(Z114="",$L$19,ABS(Z114-AC114)))</f>
      </c>
      <c r="AA115" s="65">
        <f>IF(Z115&lt;0.5,0,IF(Z115="",0,IF(AB104=0,$J$9,AB104)))</f>
        <v>0</v>
      </c>
      <c r="AB115" s="65">
        <f>IF(Z115="",0,IF(Z115&lt;0.5,0,IF(Z115&lt;=AF104,AA115+Z115*V63,$L$9)))</f>
        <v>0</v>
      </c>
      <c r="AC115" s="12">
        <f t="shared" si="35"/>
        <v>0</v>
      </c>
      <c r="AD115">
        <f>IF($N$9=0,"",IF(Z115="","",IF(ROUND(AC115-$N$9,0)=0,"LOT 4",IF(Z115&lt;0.5,"",IF(AB115-AA115&lt;$N$9,"PARTIAL","NOT")))))</f>
      </c>
      <c r="AF115" s="12">
        <f>IF(Z115="",0,$N$9-AC115-AC104-AC93-AC82)</f>
        <v>0</v>
      </c>
      <c r="AG115" s="7" t="s">
        <v>49</v>
      </c>
      <c r="AH115" s="12">
        <f>IF(AC115=0,"",IF(AI114="",$J$33,IF(AJ114="",AH114-AI114,"")))</f>
      </c>
      <c r="AI115" s="12">
        <f aca="true" t="shared" si="37" ref="AI115:AI123">IF(AH115="","",IF(AC115&gt;=AH115,AH115,AC115))</f>
      </c>
      <c r="AJ115" s="65">
        <f aca="true" t="shared" si="38" ref="AJ115:AJ123">IF(AH115="","",IF(ROUND(AI115-AH115,0)=0,AA115+AI115*V63,IF(AI115=AC115,"",AA115+AI115*V63)))</f>
      </c>
      <c r="AK115" s="7" t="s">
        <v>49</v>
      </c>
      <c r="AL115" s="12">
        <f>IF(AC115=0,"",IF(AM114="",$J$34,IF(AN114="",AL114-AM114,"")))</f>
      </c>
      <c r="AM115" s="12">
        <f aca="true" t="shared" si="39" ref="AM115:AM123">IF(AL115="","",IF(AC115&gt;=AL115,AL115,AC115))</f>
      </c>
      <c r="AN115" s="65">
        <f aca="true" t="shared" si="40" ref="AN115:AN123">IF(AL115="","",IF(ROUND(AM115-AL115,0)=0,AA115+AM115*V63,IF(AM115=AC115,"",AA115+AM115*V63)))</f>
      </c>
      <c r="AO115" s="7" t="s">
        <v>49</v>
      </c>
      <c r="AU115" s="1" t="s">
        <v>176</v>
      </c>
    </row>
    <row r="116" spans="18:47" ht="12.75" hidden="1">
      <c r="R116" s="44"/>
      <c r="X116" s="7"/>
      <c r="Y116" s="7">
        <v>3</v>
      </c>
      <c r="Z116" s="12">
        <f t="shared" si="36"/>
      </c>
      <c r="AA116" s="65">
        <f>IF(Z116&lt;0.5,0,IF(Z116="",0,IF(AB105=0,$J$10,AB105)))</f>
        <v>0</v>
      </c>
      <c r="AB116" s="65">
        <f>IF(Z116="",0,IF(Z116&lt;0.5,0,IF(Z116&lt;=AF105,AA116+Z116*V64,$L$10)))</f>
        <v>0</v>
      </c>
      <c r="AC116" s="12">
        <f t="shared" si="35"/>
        <v>0</v>
      </c>
      <c r="AD116">
        <f>IF($N$10=0,"",IF(Z116="","",IF(ROUND(AC116-$N$10,0)=0,"LOT 4",IF(Z116&lt;0.5,"",IF(AC116&lt;$N$10,"PARTIAL","NOT")))))</f>
      </c>
      <c r="AF116" s="12">
        <f>IF(Z116="",0,$N$10-AC116-AC105-AC94-AC83)</f>
        <v>0</v>
      </c>
      <c r="AG116" s="7" t="s">
        <v>54</v>
      </c>
      <c r="AH116" s="12">
        <f>IF(AC116=0,"",IF(AND(AI114="",AI115=""),$J$33,IF(AND(AJ114="",AJ115=""),AH115-AI115,"")))</f>
      </c>
      <c r="AI116" s="12">
        <f t="shared" si="37"/>
      </c>
      <c r="AJ116" s="65">
        <f t="shared" si="38"/>
      </c>
      <c r="AK116" s="7" t="s">
        <v>54</v>
      </c>
      <c r="AL116" s="12">
        <f>IF(AC116=0,"",IF(AND(AM114="",AM115=""),$J$34,IF(AND(AN114="",AN115=""),AL115-AM115,"")))</f>
      </c>
      <c r="AM116" s="12">
        <f t="shared" si="39"/>
      </c>
      <c r="AN116" s="65">
        <f t="shared" si="40"/>
      </c>
      <c r="AO116" s="7" t="s">
        <v>54</v>
      </c>
      <c r="AU116" s="1" t="s">
        <v>177</v>
      </c>
    </row>
    <row r="117" spans="24:47" ht="12.75" hidden="1">
      <c r="X117" s="7"/>
      <c r="Y117" s="7">
        <v>4</v>
      </c>
      <c r="Z117" s="12">
        <f t="shared" si="36"/>
      </c>
      <c r="AA117" s="65">
        <f>IF(Z117&lt;0.5,0,IF(Z117="",0,IF(AB106=0,$J$11,AB106)))</f>
        <v>0</v>
      </c>
      <c r="AB117" s="65">
        <f>IF(Z117="",0,IF(Z117&lt;0.5,0,IF(Z117&lt;=AF106,AA117+Z117*V65,$L$11)))</f>
        <v>0</v>
      </c>
      <c r="AC117" s="12">
        <f t="shared" si="35"/>
        <v>0</v>
      </c>
      <c r="AD117">
        <f>IF($N$11=0,"",IF(Z117="","",IF(ROUND(AC117-$N$11,0)=0,"LOT 4",IF(Z117&lt;0.5,"",IF(AB117-AA117&lt;$N$11,"PARTIAL","NOT")))))</f>
      </c>
      <c r="AF117" s="12">
        <f>IF(Z117="",0,$N$11-AC117-AC106-AC95-AC84)</f>
        <v>0</v>
      </c>
      <c r="AG117" s="7" t="s">
        <v>56</v>
      </c>
      <c r="AH117" s="12">
        <f>IF(AC117=0,"",IF(AND(AI114="",AI115="",AI116=""),$J$33,IF(AND(AJ114="",AJ115="",AJ116=""),AH116-AI116,"")))</f>
      </c>
      <c r="AI117" s="12">
        <f t="shared" si="37"/>
      </c>
      <c r="AJ117" s="65">
        <f t="shared" si="38"/>
      </c>
      <c r="AK117" s="7" t="s">
        <v>56</v>
      </c>
      <c r="AL117" s="12">
        <f>IF(AC117=0,"",IF(AND(AM114="",AM115="",AM116=""),$J$34,IF(AND(AN114="",AN115="",AN116=""),AL116-AM116,"")))</f>
      </c>
      <c r="AM117" s="12">
        <f t="shared" si="39"/>
      </c>
      <c r="AN117" s="65">
        <f t="shared" si="40"/>
      </c>
      <c r="AO117" s="7" t="s">
        <v>56</v>
      </c>
      <c r="AU117" s="1" t="s">
        <v>178</v>
      </c>
    </row>
    <row r="118" spans="24:47" ht="12.75" hidden="1">
      <c r="X118" s="7"/>
      <c r="Y118" s="7">
        <v>5</v>
      </c>
      <c r="Z118" s="12">
        <f t="shared" si="36"/>
      </c>
      <c r="AA118" s="65">
        <f>IF(Z118&lt;0.5,0,IF(Z118="",0,IF(AB107=0,$J$12,AB107)))</f>
        <v>0</v>
      </c>
      <c r="AB118" s="65">
        <f>IF(Z118="",0,IF(Z118&lt;0.5,0,IF(Z118&lt;=AF107,AA118+Z118*V66,$L$12)))</f>
        <v>0</v>
      </c>
      <c r="AC118" s="12">
        <f t="shared" si="35"/>
        <v>0</v>
      </c>
      <c r="AD118">
        <f>IF($N$12=0,"",IF(Z118="","",IF(ROUND(AC118-$N$12,0)=0,"LOT 4",IF(Z118&lt;0.5,"",IF(AB118-AA118&lt;$N$12,"PARTIAL","NOT")))))</f>
      </c>
      <c r="AF118" s="12">
        <f>IF(Z118="",0,$N$12-AC118-AC107-AC96-AC85)</f>
        <v>0</v>
      </c>
      <c r="AG118" s="7" t="s">
        <v>58</v>
      </c>
      <c r="AH118" s="12">
        <f>IF(AC118=0,"",IF(AND(AI114="",AI115="",AI116="",AI117=""),$J$33,IF(AND(AJ114="",AJ115="",AJ116="",AJ117=""),AH117-AI117,"")))</f>
      </c>
      <c r="AI118" s="12">
        <f t="shared" si="37"/>
      </c>
      <c r="AJ118" s="65">
        <f t="shared" si="38"/>
      </c>
      <c r="AK118" s="7" t="s">
        <v>58</v>
      </c>
      <c r="AL118" s="12">
        <f>IF(AC118=0,"",IF(AND(AM114="",AM115="",AM116="",AM117=""),$J$34,IF(AND(AN114="",AN115="",AN116="",AN117=""),AL117-AM117,"")))</f>
      </c>
      <c r="AM118" s="12">
        <f t="shared" si="39"/>
      </c>
      <c r="AN118" s="65">
        <f t="shared" si="40"/>
      </c>
      <c r="AO118" s="7" t="s">
        <v>58</v>
      </c>
      <c r="AU118" s="1" t="s">
        <v>179</v>
      </c>
    </row>
    <row r="119" spans="24:47" ht="12.75" hidden="1">
      <c r="X119" s="7"/>
      <c r="Y119" s="7">
        <v>6</v>
      </c>
      <c r="Z119" s="12">
        <f t="shared" si="36"/>
      </c>
      <c r="AA119" s="65">
        <f>IF(Z119&lt;0.5,0,IF(Z119="",0,IF(AB108=0,$J$13,AB108)))</f>
        <v>0</v>
      </c>
      <c r="AB119" s="65">
        <f>IF(Z119="",0,IF(Z119&lt;0.5,0,IF(Z119&lt;=AF108,AA119+Z119*V67,$L$13)))</f>
        <v>0</v>
      </c>
      <c r="AC119" s="12">
        <f t="shared" si="35"/>
        <v>0</v>
      </c>
      <c r="AD119">
        <f>IF($N$13=0,"",IF(Z119="","",IF(ROUND(AC119-$N$13,0)=0,"LOT 4",IF(Z119&lt;0.5,"",IF(AB119-AA119&lt;$N$13,"PARTIAL","NOT")))))</f>
      </c>
      <c r="AF119" s="12">
        <f>IF(Z119="",0,$N$13-AC119-AC108-AC97-AC86)</f>
        <v>0</v>
      </c>
      <c r="AG119" s="7" t="s">
        <v>61</v>
      </c>
      <c r="AH119" s="12">
        <f>IF(AC119=0,"",IF(AND(AI114="",AI115="",AI116="",AI117="",AI118=""),$J$33,IF(AND(AJ114="",AJ115="",AJ116="",AJ117="",AJ118=""),AH118-AI118,"")))</f>
      </c>
      <c r="AI119" s="12">
        <f t="shared" si="37"/>
      </c>
      <c r="AJ119" s="65">
        <f t="shared" si="38"/>
      </c>
      <c r="AK119" s="7" t="s">
        <v>61</v>
      </c>
      <c r="AL119" s="12">
        <f>IF(AC119=0,"",IF(AND(AM114="",AM115="",AM116="",AM117="",AM118=""),$J$34,IF(AND(AN114="",AN115="",AN116="",AN117="",AN118=""),AL118-AM118,"")))</f>
      </c>
      <c r="AM119" s="12">
        <f t="shared" si="39"/>
      </c>
      <c r="AN119" s="65">
        <f t="shared" si="40"/>
      </c>
      <c r="AO119" s="7" t="s">
        <v>61</v>
      </c>
      <c r="AU119" s="1" t="s">
        <v>180</v>
      </c>
    </row>
    <row r="120" spans="24:47" ht="12.75" hidden="1">
      <c r="X120" s="7"/>
      <c r="Y120" s="7">
        <v>7</v>
      </c>
      <c r="Z120" s="12">
        <f t="shared" si="36"/>
      </c>
      <c r="AA120" s="65">
        <f>IF(Z120&lt;0.5,0,IF(Z120="",0,IF(AB109=0,$J$14,AB109)))</f>
        <v>0</v>
      </c>
      <c r="AB120" s="65">
        <f>IF(Z120="",0,IF(Z120&lt;0.5,0,IF(Z120&lt;=AF109,AA120+Z120*V68,$L$14)))</f>
        <v>0</v>
      </c>
      <c r="AC120" s="12">
        <f t="shared" si="35"/>
        <v>0</v>
      </c>
      <c r="AD120">
        <f>IF($N$14=0,"",IF(Z120="","",IF(ROUND(AC120-$N$14,0)=0,"LOT 4",IF(Z120&lt;0.5,"",IF(AB120-AA120&lt;$N$14,"PARTIAL","NOT")))))</f>
      </c>
      <c r="AF120" s="12">
        <f>IF(Z120="",0,$N$14-AC120-AC109-AC98-AC87)</f>
        <v>0</v>
      </c>
      <c r="AG120" s="7" t="s">
        <v>237</v>
      </c>
      <c r="AH120" s="12">
        <f>IF(AC120=0,"",IF(AND(AI114="",AI115="",AI116="",AI117="",AI118="",AI119=""),$J$33,IF(AND(AJ114="",AJ115="",AJ116="",AJ117="",AJ118="",AJ119=""),AH119-AI119,"")))</f>
      </c>
      <c r="AI120" s="12">
        <f t="shared" si="37"/>
      </c>
      <c r="AJ120" s="65">
        <f t="shared" si="38"/>
      </c>
      <c r="AK120" s="7" t="s">
        <v>237</v>
      </c>
      <c r="AL120" s="12">
        <f>IF(AC120=0,"",IF(AND(AM114="",AM115="",AM116="",AM117="",AM118="",AM119=""),$J$34,IF(AND(AN114="",AN115="",AN116="",AN117="",AN118="",AN119=""),AL119-AM119,"")))</f>
      </c>
      <c r="AM120" s="12">
        <f t="shared" si="39"/>
      </c>
      <c r="AN120" s="65">
        <f t="shared" si="40"/>
      </c>
      <c r="AO120" s="7" t="s">
        <v>237</v>
      </c>
      <c r="AU120" s="1" t="s">
        <v>181</v>
      </c>
    </row>
    <row r="121" spans="24:47" ht="12.75" hidden="1">
      <c r="X121" s="7"/>
      <c r="Y121" s="7">
        <v>8</v>
      </c>
      <c r="Z121" s="12">
        <f t="shared" si="36"/>
      </c>
      <c r="AA121" s="65">
        <f>IF(Z121&lt;0.5,0,IF(Z121="",0,IF(AB110=0,$J$15,AB110)))</f>
        <v>0</v>
      </c>
      <c r="AB121" s="65">
        <f>IF(Z121="",0,IF(Z121&lt;0.5,0,IF(Z121&lt;=AF110,AA121+Z121*V69,$L$15)))</f>
        <v>0</v>
      </c>
      <c r="AC121" s="12">
        <f t="shared" si="35"/>
        <v>0</v>
      </c>
      <c r="AD121">
        <f>IF($N$15=0,"",IF(Z121="","",IF(ROUND(AC121-$N$15,0)=0,"LOT 4",IF(Z121&lt;0.5,"",IF(AB121-AA121&lt;$N$15,"PARTIAL","NOT")))))</f>
      </c>
      <c r="AF121" s="12">
        <f>IF(Z121="",0,$N$15-AC121-AC110-AC99-AC88)</f>
        <v>0</v>
      </c>
      <c r="AG121" s="7" t="s">
        <v>238</v>
      </c>
      <c r="AH121" s="12">
        <f>IF(AC121=0,"",IF(AND(AI114="",AI115="",AI116="",AI117="",AI118="",AI119="",AI120=""),$J$33,IF(AND(AJ114="",AJ115="",AJ116="",AJ117="",AJ118="",AJ119="",AJ120=""),AH120-AI120,"")))</f>
      </c>
      <c r="AI121" s="12">
        <f t="shared" si="37"/>
      </c>
      <c r="AJ121" s="65">
        <f t="shared" si="38"/>
      </c>
      <c r="AK121" s="7" t="s">
        <v>238</v>
      </c>
      <c r="AL121" s="12">
        <f>IF(AC121=0,"",IF(AND(AM114="",AM115="",AM116="",AM117="",AM118="",AM119="",AM120=""),$J$34,IF(AND(AN114="",AN115="",AN116="",AN117="",AN118="",AN119="",AN120=""),AL120-AM120,"")))</f>
      </c>
      <c r="AM121" s="12">
        <f t="shared" si="39"/>
      </c>
      <c r="AN121" s="65">
        <f t="shared" si="40"/>
      </c>
      <c r="AO121" s="7" t="s">
        <v>238</v>
      </c>
      <c r="AU121" s="1" t="s">
        <v>182</v>
      </c>
    </row>
    <row r="122" spans="24:47" ht="12.75" hidden="1">
      <c r="X122" s="7"/>
      <c r="Y122" s="7">
        <v>9</v>
      </c>
      <c r="Z122" s="12">
        <f t="shared" si="36"/>
      </c>
      <c r="AA122" s="65">
        <f>IF(Z122&lt;0.5,0,IF(Z122="",0,IF(AB111=0,$J$16,AB111)))</f>
        <v>0</v>
      </c>
      <c r="AB122" s="65">
        <f>IF(Z122="",0,IF(Z122&lt;0.5,0,IF(Z122&lt;=AF111,AA122+Z122*V70,$L$16)))</f>
        <v>0</v>
      </c>
      <c r="AC122" s="12">
        <f t="shared" si="35"/>
        <v>0</v>
      </c>
      <c r="AD122">
        <f>IF($N$16=0,"",IF(Z122="","",IF(ROUND(AC122-$N$16,0)=0,"LOT 4",IF(Z122&lt;0.5,"",IF(AB122-AA122&lt;$N$16,"PARTIAL","NOT")))))</f>
      </c>
      <c r="AF122" s="12">
        <f>IF(Z122="",0,$N$16-AC122-AC111-AC100-AC89)</f>
        <v>0</v>
      </c>
      <c r="AG122" s="7" t="s">
        <v>276</v>
      </c>
      <c r="AH122" s="12">
        <f>IF(AC122=0,"",IF(AND(AI114="",AI115="",AI116="",AI117="",AI118="",AI119="",AI120="",AI121=""),$J$33,IF(AND(AJ114="",AJ115="",AJ116="",AJ117="",AJ118="",AJ119="",AJ120="",AJ121=""),AH121-AI121,"")))</f>
      </c>
      <c r="AI122" s="12">
        <f t="shared" si="37"/>
      </c>
      <c r="AJ122" s="65">
        <f t="shared" si="38"/>
      </c>
      <c r="AK122" s="7" t="s">
        <v>276</v>
      </c>
      <c r="AL122" s="12">
        <f>IF(AC122=0,"",IF(AND(AM114="",AM115="",AM116="",AM117="",AM118="",AM119="",AM120="",AM121=""),$J$34,IF(AND(AN114="",AN115="",AN116="",AN117="",AN118="",AN119="",AN120="",AN121=""),AL121-AM121,"")))</f>
      </c>
      <c r="AM122" s="12">
        <f t="shared" si="39"/>
      </c>
      <c r="AN122" s="65">
        <f t="shared" si="40"/>
      </c>
      <c r="AO122" s="7" t="s">
        <v>276</v>
      </c>
      <c r="AU122" s="1"/>
    </row>
    <row r="123" spans="24:47" ht="12.75" hidden="1">
      <c r="X123" s="7"/>
      <c r="Y123" s="7">
        <v>10</v>
      </c>
      <c r="Z123" s="12">
        <f t="shared" si="36"/>
      </c>
      <c r="AA123" s="65">
        <f>IF(Z123&lt;0.5,0,IF(Z123="",0,IF(AB112=0,$J$17,AB112)))</f>
        <v>0</v>
      </c>
      <c r="AB123" s="65">
        <f>IF(Z123="",0,IF(Z123&lt;0.5,0,IF(Z123&lt;=AF112,AA123+Z123*V71,$L$17)))</f>
        <v>0</v>
      </c>
      <c r="AC123" s="12">
        <f t="shared" si="35"/>
        <v>0</v>
      </c>
      <c r="AD123">
        <f>IF($N$17=0,"",IF(Z123="","",IF(ROUND(AC123-$N$17,0)=0,"LOT 4",IF(Z123&lt;0.5,"",IF(AB123-AA123&lt;$N$17,"PARTIAL","NOT")))))</f>
      </c>
      <c r="AF123" s="12">
        <f>IF(Z123="",0,$N$17-AC123-AC112-AC101-AC90)</f>
        <v>0</v>
      </c>
      <c r="AG123" s="7" t="s">
        <v>296</v>
      </c>
      <c r="AH123" s="12">
        <f>IF(AC123=0,"",IF(AND(AI114="",AI115="",AI116="",AI117="",AI118="",AI119="",AI120="",AI121="",AI122=""),$J$33,IF(AND(AJ114="",AJ115="",AJ116="",AJ117="",AJ118="",AJ119="",AJ120="",AJ121="",AJ122=""),AH122-AI122,"")))</f>
      </c>
      <c r="AI123" s="12">
        <f t="shared" si="37"/>
      </c>
      <c r="AJ123" s="65">
        <f t="shared" si="38"/>
      </c>
      <c r="AK123" s="7" t="s">
        <v>296</v>
      </c>
      <c r="AL123" s="12">
        <f>IF(AC123=0,"",IF(AND(AM114="",AM115="",AM116="",AM117="",AM118="",AM119="",AM120="",AM121="",AM122=""),$J$34,IF(AND(AN114="",AN115="",AN116="",AN117="",AN118="",AN119="",AN120="",AN121="",AN122=""),AL122-AM122,"")))</f>
      </c>
      <c r="AM123" s="12">
        <f t="shared" si="39"/>
      </c>
      <c r="AN123" s="65">
        <f t="shared" si="40"/>
      </c>
      <c r="AO123" s="7" t="s">
        <v>296</v>
      </c>
      <c r="AU123" s="1"/>
    </row>
    <row r="124" spans="24:47" ht="12.75" hidden="1">
      <c r="X124" s="7"/>
      <c r="Y124" s="7"/>
      <c r="Z124" s="12"/>
      <c r="AU124" s="1" t="s">
        <v>183</v>
      </c>
    </row>
    <row r="125" spans="24:47" ht="12.75" hidden="1">
      <c r="X125" s="7">
        <v>5</v>
      </c>
      <c r="Y125" s="7">
        <v>1</v>
      </c>
      <c r="Z125" s="12">
        <f>IF($L$18&lt;5,"",(IF(ROUND(AF114,0)=0,"",$L$19)))</f>
      </c>
      <c r="AA125" s="65">
        <f>IF(Z125&lt;0.5,0,IF(Z125="",0,IF(AB114=0,$J$8,AB114)))</f>
        <v>0</v>
      </c>
      <c r="AB125" s="65">
        <f>IF(Z125="",0,IF(Z125&lt;0.5,0,IF(Z125&lt;=AF114,AA125+Z125*V62,$L$8)))</f>
        <v>0</v>
      </c>
      <c r="AC125" s="12">
        <f aca="true" t="shared" si="41" ref="AC125:AC134">ABS(AB125-AA125)</f>
        <v>0</v>
      </c>
      <c r="AD125">
        <f>IF($N$8=0,"",IF(Z125="","",IF(ROUND(AC125-$N$8,0)=0,"LOT 5",IF(Z125&lt;0.5,"",IF(AB125-AA125&lt;$N$8,"PARTIAL","NOT")))))</f>
      </c>
      <c r="AF125" s="12">
        <f>IF(Z125="",0,$N$8-AC125-AC114-AC103-AC92-AC81)</f>
        <v>0</v>
      </c>
      <c r="AG125" s="7" t="s">
        <v>46</v>
      </c>
      <c r="AH125" s="12">
        <f>IF(AC125=0,"",$J$36)</f>
      </c>
      <c r="AI125" s="12">
        <f>IF(AC125=0,"",IF(AC125&gt;=AH125,AH125,AC125))</f>
      </c>
      <c r="AJ125" s="65">
        <f>IF(AH125="","",IF(AI125=AC125,"",AA125+AI125*V62))</f>
      </c>
      <c r="AK125" s="7" t="s">
        <v>46</v>
      </c>
      <c r="AL125" s="12">
        <f>IF(AC125=0,"",$J$37)</f>
      </c>
      <c r="AM125" s="12">
        <f>IF(AC125=0,"",IF(AC125&gt;=AL125,AL125,AC125))</f>
      </c>
      <c r="AN125" s="65">
        <f>IF(AL125="","",IF(AM125=AC125,"",AA125+AM125*V62))</f>
      </c>
      <c r="AO125" s="7" t="s">
        <v>46</v>
      </c>
      <c r="AU125" s="1" t="s">
        <v>184</v>
      </c>
    </row>
    <row r="126" spans="24:47" ht="12.75" hidden="1">
      <c r="X126" s="7"/>
      <c r="Y126" s="7">
        <v>2</v>
      </c>
      <c r="Z126" s="12">
        <f aca="true" t="shared" si="42" ref="Z126:Z134">IF(ROUND(AF115,0)=0,"",IF(Z125="",$L$19,ABS(Z125-AC125)))</f>
      </c>
      <c r="AA126" s="65">
        <f>IF(Z126&lt;0.5,0,IF(Z126="",0,IF(AB115=0,$J$9,AB115)))</f>
        <v>0</v>
      </c>
      <c r="AB126" s="65">
        <f>IF(Z126="",0,IF(Z126&lt;0.5,0,IF(Z126&lt;=AF115,AA126+Z126*V63,$L$9)))</f>
        <v>0</v>
      </c>
      <c r="AC126" s="12">
        <f t="shared" si="41"/>
        <v>0</v>
      </c>
      <c r="AD126">
        <f>IF($N$9=0,"",IF(Z126="","",IF(ROUND(AC126-$N$9,0)=0,"LOT 5",IF(Z126&lt;0.5,"",IF(AB126-AA126&lt;$N$9,"PARTIAL","NOT")))))</f>
      </c>
      <c r="AF126" s="12">
        <f>IF(Z126="",0,$N$9-AC126-AC115-AC104-AC93-AC82)</f>
        <v>0</v>
      </c>
      <c r="AG126" s="7" t="s">
        <v>49</v>
      </c>
      <c r="AH126" s="12">
        <f>IF(AC126=0,"",IF(AI125="",$J$36,IF(AJ125="",AH125-AI125,"")))</f>
      </c>
      <c r="AI126" s="12">
        <f aca="true" t="shared" si="43" ref="AI126:AI134">IF(AH126="","",IF(AC126&gt;=AH126,AH126,AC126))</f>
      </c>
      <c r="AJ126" s="65">
        <f aca="true" t="shared" si="44" ref="AJ126:AJ134">IF(AH126="","",IF(ROUND(AI126-AH126,0)=0,AA126+AI126*V63,IF(AI126=AC126,"",AA126+AI126*V63)))</f>
      </c>
      <c r="AK126" s="7" t="s">
        <v>49</v>
      </c>
      <c r="AL126" s="12">
        <f>IF(AC126=0,"",IF(AM125="",$J$37,IF(AN125="",AL125-AM125,"")))</f>
      </c>
      <c r="AM126" s="12">
        <f aca="true" t="shared" si="45" ref="AM126:AM134">IF(AL126="","",IF(AC126&gt;=AL126,AL126,AC126))</f>
      </c>
      <c r="AN126" s="65">
        <f aca="true" t="shared" si="46" ref="AN126:AN134">IF(AL126="","",IF(ROUND(AM126-AL126,0)=0,AA126+AM126*V63,IF(AM126=AC126,"",AA126+AM126*V63)))</f>
      </c>
      <c r="AO126" s="7" t="s">
        <v>49</v>
      </c>
      <c r="AU126" s="1" t="s">
        <v>185</v>
      </c>
    </row>
    <row r="127" spans="24:47" ht="12.75" hidden="1">
      <c r="X127" s="7"/>
      <c r="Y127" s="7">
        <v>3</v>
      </c>
      <c r="Z127" s="12">
        <f t="shared" si="42"/>
      </c>
      <c r="AA127" s="65">
        <f>IF(Z127&lt;0.5,0,IF(Z127="",0,IF(AB116=0,$J$10,AB116)))</f>
        <v>0</v>
      </c>
      <c r="AB127" s="65">
        <f>IF(Z127="",0,IF(Z127&lt;0.5,0,IF(Z127&lt;=AF116,AA127+Z127*V64,$L$10)))</f>
        <v>0</v>
      </c>
      <c r="AC127" s="12">
        <f t="shared" si="41"/>
        <v>0</v>
      </c>
      <c r="AD127">
        <f>IF($N$10=0,"",IF(Z127="","",IF(ROUND(AC127-$N$10,0)=0,"LOT 5",IF(Z127&lt;0.5,"",IF(AC127&lt;$N$10,"PARTIAL","NOT")))))</f>
      </c>
      <c r="AF127" s="12">
        <f>IF(Z127="",0,$N$10-AC127-AC116-AC105-AC94-AC83)</f>
        <v>0</v>
      </c>
      <c r="AG127" s="7" t="s">
        <v>54</v>
      </c>
      <c r="AH127" s="12">
        <f>IF(AC127=0,"",IF(AND(AI125="",AI126=""),$J$36,IF(AND(AJ125="",AJ126=""),AH126-AI126,"")))</f>
      </c>
      <c r="AI127" s="12">
        <f t="shared" si="43"/>
      </c>
      <c r="AJ127" s="65">
        <f t="shared" si="44"/>
      </c>
      <c r="AK127" s="7" t="s">
        <v>54</v>
      </c>
      <c r="AL127" s="12">
        <f>IF(AC127=0,"",IF(AND(AM125="",AM126=""),$J$37,IF(AND(AN125="",AN126=""),AL126-AM126,"")))</f>
      </c>
      <c r="AM127" s="12">
        <f t="shared" si="45"/>
      </c>
      <c r="AN127" s="65">
        <f t="shared" si="46"/>
      </c>
      <c r="AO127" s="7" t="s">
        <v>54</v>
      </c>
      <c r="AU127" s="1" t="s">
        <v>186</v>
      </c>
    </row>
    <row r="128" spans="24:47" ht="12.75" hidden="1">
      <c r="X128" s="7"/>
      <c r="Y128" s="7">
        <v>4</v>
      </c>
      <c r="Z128" s="12">
        <f t="shared" si="42"/>
      </c>
      <c r="AA128" s="65">
        <f>IF(Z128&lt;0.5,0,IF(Z128="",0,IF(AB117=0,$J$11,AB117)))</f>
        <v>0</v>
      </c>
      <c r="AB128" s="65">
        <f>IF(Z128="",0,IF(Z128&lt;0.5,0,IF(Z128&lt;=AF117,AA128+Z128*V65,$L$11)))</f>
        <v>0</v>
      </c>
      <c r="AC128" s="12">
        <f t="shared" si="41"/>
        <v>0</v>
      </c>
      <c r="AD128">
        <f>IF($N$11=0,"",IF(Z128="","",IF(ROUND(AC128-$N$11,0)=0,"LOT 5",IF(Z128&lt;0.5,"",IF(AB128-AA128&lt;$N$11,"PARTIAL","NOT")))))</f>
      </c>
      <c r="AF128" s="12">
        <f>IF(Z128="",0,$N$11-AC128-AC117-AC106-AC95-AC84)</f>
        <v>0</v>
      </c>
      <c r="AG128" s="7" t="s">
        <v>56</v>
      </c>
      <c r="AH128" s="12">
        <f>IF(AC128=0,"",IF(AND(AI125="",AI126="",AI127=""),$J$36,IF(AND(AJ125="",AJ126="",AJ127=""),AH127-AI127,"")))</f>
      </c>
      <c r="AI128" s="12">
        <f t="shared" si="43"/>
      </c>
      <c r="AJ128" s="65">
        <f t="shared" si="44"/>
      </c>
      <c r="AK128" s="7" t="s">
        <v>56</v>
      </c>
      <c r="AL128" s="12">
        <f>IF(AC128=0,"",IF(AND(AM125="",AM126="",AM127=""),$J$37,IF(AND(AN125="",AN126="",AN127=""),AL127-AM127,"")))</f>
      </c>
      <c r="AM128" s="12">
        <f t="shared" si="45"/>
      </c>
      <c r="AN128" s="65">
        <f t="shared" si="46"/>
      </c>
      <c r="AO128" s="7" t="s">
        <v>56</v>
      </c>
      <c r="AU128" s="1" t="s">
        <v>187</v>
      </c>
    </row>
    <row r="129" spans="24:47" ht="12.75" hidden="1">
      <c r="X129" s="7"/>
      <c r="Y129" s="7">
        <v>5</v>
      </c>
      <c r="Z129" s="12">
        <f t="shared" si="42"/>
      </c>
      <c r="AA129" s="65">
        <f>IF(Z129&lt;0.5,0,IF(Z129="",0,IF(AB118=0,$J$12,AB118)))</f>
        <v>0</v>
      </c>
      <c r="AB129" s="65">
        <f>IF(Z129="",0,IF(Z129&lt;0.5,0,IF(Z129&lt;=AF118,AA129+Z129*V66,$L$12)))</f>
        <v>0</v>
      </c>
      <c r="AC129" s="12">
        <f t="shared" si="41"/>
        <v>0</v>
      </c>
      <c r="AD129">
        <f>IF($N$12=0,"",IF(Z129="","",IF(ROUND(AC129-$N$12,0)=0,"LOT 5",IF(Z129&lt;0.5,"",IF(AB129-AA129&lt;$N$12,"PARTIAL","NOT")))))</f>
      </c>
      <c r="AF129" s="12">
        <f>IF(Z129="",0,$N$12-AC129-AC118-AC107-AC96-AC85)</f>
        <v>0</v>
      </c>
      <c r="AG129" s="7" t="s">
        <v>58</v>
      </c>
      <c r="AH129" s="12">
        <f>IF(AC129=0,"",IF(AND(AI125="",AI126="",AI127="",AI128=""),$J$36,IF(AND(AJ125="",AJ126="",AJ127="",AJ128=""),AH128-AI128,"")))</f>
      </c>
      <c r="AI129" s="12">
        <f t="shared" si="43"/>
      </c>
      <c r="AJ129" s="65">
        <f t="shared" si="44"/>
      </c>
      <c r="AK129" s="7" t="s">
        <v>58</v>
      </c>
      <c r="AL129" s="12">
        <f>IF(AC129=0,"",IF(AND(AM125="",AM126="",AM127="",AM128=""),$J$37,IF(AND(AN125="",AN126="",AN127="",AN128=""),AL128-AM128,"")))</f>
      </c>
      <c r="AM129" s="12">
        <f t="shared" si="45"/>
      </c>
      <c r="AN129" s="65">
        <f t="shared" si="46"/>
      </c>
      <c r="AO129" s="7" t="s">
        <v>58</v>
      </c>
      <c r="AU129" s="1" t="s">
        <v>188</v>
      </c>
    </row>
    <row r="130" spans="24:47" ht="12.75" hidden="1">
      <c r="X130" s="7"/>
      <c r="Y130" s="7">
        <v>6</v>
      </c>
      <c r="Z130" s="12">
        <f t="shared" si="42"/>
      </c>
      <c r="AA130" s="65">
        <f>IF(Z130&lt;0.5,0,IF(Z130="",0,IF(AB119=0,$J$13,AB119)))</f>
        <v>0</v>
      </c>
      <c r="AB130" s="65">
        <f>IF(Z130="",0,IF(Z130&lt;0.5,0,IF(Z130&lt;=AF119,AA130+Z130*V67,$L$13)))</f>
        <v>0</v>
      </c>
      <c r="AC130" s="12">
        <f t="shared" si="41"/>
        <v>0</v>
      </c>
      <c r="AD130">
        <f>IF($N$13=0,"",IF(Z130="","",IF(ROUND(AC130-$N$13,0)=0,"LOT 5",IF(Z130&lt;0.5,"",IF(AB130-AA130&lt;$N$13,"PARTIAL","NOT")))))</f>
      </c>
      <c r="AF130" s="12">
        <f>IF(Z130="",0,$N$13-AC130-AC119-AC108-AC97-AC86)</f>
        <v>0</v>
      </c>
      <c r="AG130" s="7" t="s">
        <v>61</v>
      </c>
      <c r="AH130" s="12">
        <f>IF(AC130=0,"",IF(AND(AI125="",AI126="",AI127="",AI128="",AI129=""),$J$36,IF(AND(AJ125="",AJ126="",AJ127="",AJ128="",AJ129=""),AH129-AI129,"")))</f>
      </c>
      <c r="AI130" s="12">
        <f t="shared" si="43"/>
      </c>
      <c r="AJ130" s="65">
        <f t="shared" si="44"/>
      </c>
      <c r="AK130" s="7" t="s">
        <v>61</v>
      </c>
      <c r="AL130" s="12">
        <f>IF(AC130=0,"",IF(AND(AM125="",AM126="",AM127="",AM128="",AM129=""),$J$37,IF(AND(AN125="",AN126="",AN127="",AN128="",AN129=""),AL129-AM129,"")))</f>
      </c>
      <c r="AM130" s="12">
        <f t="shared" si="45"/>
      </c>
      <c r="AN130" s="65">
        <f t="shared" si="46"/>
      </c>
      <c r="AO130" s="7" t="s">
        <v>61</v>
      </c>
      <c r="AU130" s="1" t="s">
        <v>189</v>
      </c>
    </row>
    <row r="131" spans="24:47" ht="12.75" hidden="1">
      <c r="X131" s="7"/>
      <c r="Y131" s="7">
        <v>7</v>
      </c>
      <c r="Z131" s="12">
        <f t="shared" si="42"/>
      </c>
      <c r="AA131" s="65">
        <f>IF(Z131&lt;0.5,0,IF(Z131="",0,IF(AB120=0,$J$14,AB120)))</f>
        <v>0</v>
      </c>
      <c r="AB131" s="65">
        <f>IF(Z131="",0,IF(Z131&lt;0.5,0,IF(Z131&lt;=AF120,AA131+Z131*V68,$L$14)))</f>
        <v>0</v>
      </c>
      <c r="AC131" s="12">
        <f t="shared" si="41"/>
        <v>0</v>
      </c>
      <c r="AD131">
        <f>IF($N$14=0,"",IF(Z131="","",IF(ROUND(AC131-$N$14,0)=0,"LOT 5",IF(Z131&lt;0.5,"",IF(AB131-AA131&lt;$N$14,"PARTIAL","NOT")))))</f>
      </c>
      <c r="AF131" s="12">
        <f>IF(Z131="",0,$N$14-AC131-AC120-AC109-AC98-AC87)</f>
        <v>0</v>
      </c>
      <c r="AG131" s="7" t="s">
        <v>237</v>
      </c>
      <c r="AH131" s="12">
        <f>IF(AC131=0,"",IF(AND(AI125="",AI126="",AI127="",AI128="",AI129="",AI130=""),$J$36,IF(AND(AJ125="",AJ126="",AJ127="",AJ128="",AJ129="",AJ130=""),AH130-AI130,"")))</f>
      </c>
      <c r="AI131" s="12">
        <f t="shared" si="43"/>
      </c>
      <c r="AJ131" s="65">
        <f t="shared" si="44"/>
      </c>
      <c r="AK131" s="7" t="s">
        <v>237</v>
      </c>
      <c r="AL131" s="12">
        <f>IF(AC131=0,"",IF(AND(AM125="",AM126="",AM127="",AM128="",AM129="",AM130=""),$J$37,IF(AND(AN125="",AN126="",AN127="",AN128="",AN129="",AN130=""),AL130-AM130,"")))</f>
      </c>
      <c r="AM131" s="12">
        <f t="shared" si="45"/>
      </c>
      <c r="AN131" s="65">
        <f t="shared" si="46"/>
      </c>
      <c r="AO131" s="7" t="s">
        <v>237</v>
      </c>
      <c r="AU131" s="1" t="s">
        <v>263</v>
      </c>
    </row>
    <row r="132" spans="24:47" ht="12.75" hidden="1">
      <c r="X132" s="7"/>
      <c r="Y132" s="7">
        <v>8</v>
      </c>
      <c r="Z132" s="12">
        <f t="shared" si="42"/>
      </c>
      <c r="AA132" s="65">
        <f>IF(Z132&lt;0.5,0,IF(Z132="",0,IF(AB121=0,$J$15,AB121)))</f>
        <v>0</v>
      </c>
      <c r="AB132" s="65">
        <f>IF(Z132="",0,IF(Z132&lt;0.5,0,IF(Z132&lt;=AF121,AA132+Z132*V69,$L$15)))</f>
        <v>0</v>
      </c>
      <c r="AC132" s="12">
        <f t="shared" si="41"/>
        <v>0</v>
      </c>
      <c r="AD132">
        <f>IF($N$15=0,"",IF(Z132="","",IF(ROUND(AC132-$N$15,0)=0,"LOT 5",IF(Z132&lt;0.5,"",IF(AB132-AA132&lt;$N$15,"PARTIAL","NOT")))))</f>
      </c>
      <c r="AF132" s="12">
        <f>IF(Z132="",0,$N$15-AC132-AC121-AC110-AC99-AC88)</f>
        <v>0</v>
      </c>
      <c r="AG132" s="7" t="s">
        <v>238</v>
      </c>
      <c r="AH132" s="12">
        <f>IF(AC132=0,"",IF(AND(AI125="",AI126="",AI127="",AI128="",AI129="",AI130="",AI131=""),$J$36,IF(AND(AJ125="",AJ126="",AJ127="",AJ128="",AJ129="",AJ130="",AJ131=""),AH131-AI131,"")))</f>
      </c>
      <c r="AI132" s="12">
        <f t="shared" si="43"/>
      </c>
      <c r="AJ132" s="65">
        <f t="shared" si="44"/>
      </c>
      <c r="AK132" s="7" t="s">
        <v>238</v>
      </c>
      <c r="AL132" s="12">
        <f>IF(AC132=0,"",IF(AND(AM125="",AM126="",AM127="",AM128="",AM129="",AM130="",AM131=""),$J$37,IF(AND(AN125="",AN126="",AN127="",AN128="",AN129="",AN130="",AN131=""),AL131-AM131,"")))</f>
      </c>
      <c r="AM132" s="12">
        <f t="shared" si="45"/>
      </c>
      <c r="AN132" s="65">
        <f t="shared" si="46"/>
      </c>
      <c r="AO132" s="7" t="s">
        <v>238</v>
      </c>
      <c r="AU132" s="1" t="s">
        <v>264</v>
      </c>
    </row>
    <row r="133" spans="24:47" ht="12.75" hidden="1">
      <c r="X133" s="7"/>
      <c r="Y133" s="7">
        <v>9</v>
      </c>
      <c r="Z133" s="12">
        <f t="shared" si="42"/>
      </c>
      <c r="AA133" s="65">
        <f>IF(Z133&lt;0.5,0,IF(Z133="",0,IF(AB122=0,$J$16,AB122)))</f>
        <v>0</v>
      </c>
      <c r="AB133" s="65">
        <f>IF(Z133="",0,IF(Z133&lt;0.5,0,IF(Z133&lt;=AF122,AA133+Z133*V70,$L$16)))</f>
        <v>0</v>
      </c>
      <c r="AC133" s="12">
        <f t="shared" si="41"/>
        <v>0</v>
      </c>
      <c r="AD133">
        <f>IF($N$16=0,"",IF(Z133="","",IF(ROUND(AC133-$N$16,0)=0,"LOT 5",IF(Z133&lt;0.5,"",IF(AB133-AA133&lt;$N$16,"PARTIAL","NOT")))))</f>
      </c>
      <c r="AF133" s="12">
        <f>IF(Z133="",0,$N$16-AC133-AC122-AC111-AC100-AC89)</f>
        <v>0</v>
      </c>
      <c r="AG133" s="7" t="s">
        <v>276</v>
      </c>
      <c r="AH133" s="12">
        <f>IF(AC133=0,"",IF(AND(AI125="",AI126="",AI127="",AI128="",AI129="",AI130="",AI131="",AI132=""),$J$36,IF(AND(AJ125="",AJ126="",AJ127="",AJ128="",AJ129="",AJ130="",AJ131="",AJ132=""),AH132-AI132,"")))</f>
      </c>
      <c r="AI133" s="12">
        <f t="shared" si="43"/>
      </c>
      <c r="AJ133" s="65">
        <f t="shared" si="44"/>
      </c>
      <c r="AK133" s="7" t="s">
        <v>276</v>
      </c>
      <c r="AL133" s="12">
        <f>IF(AC133=0,"",IF(AND(AM125="",AM126="",AM127="",AM128="",AM129="",AM130="",AM131="",AM132=""),$J$37,IF(AND(AN125="",AN126="",AN127="",AN128="",AN129="",AN130="",AN131="",AN132=""),AL132-AM132,"")))</f>
      </c>
      <c r="AM133" s="12">
        <f t="shared" si="45"/>
      </c>
      <c r="AN133" s="65">
        <f t="shared" si="46"/>
      </c>
      <c r="AO133" s="7" t="s">
        <v>276</v>
      </c>
      <c r="AU133" s="1"/>
    </row>
    <row r="134" spans="24:47" ht="12.75" hidden="1">
      <c r="X134" s="7"/>
      <c r="Y134" s="7">
        <v>10</v>
      </c>
      <c r="Z134" s="12">
        <f t="shared" si="42"/>
      </c>
      <c r="AA134" s="65">
        <f>IF(Z134&lt;0.5,0,IF(Z134="",0,IF(AB123=0,$J$17,AB123)))</f>
        <v>0</v>
      </c>
      <c r="AB134" s="65">
        <f>IF(Z134="",0,IF(Z134&lt;0.5,0,IF(Z134&lt;=AF123,AA134+Z134*V71,$L$17)))</f>
        <v>0</v>
      </c>
      <c r="AC134" s="12">
        <f t="shared" si="41"/>
        <v>0</v>
      </c>
      <c r="AD134">
        <f>IF($N$17=0,"",IF(Z134="","",IF(ROUND(AC134-$N$17,0)=0,"LOT 5",IF(Z134&lt;0.5,"",IF(AB134-AA134&lt;$N$17,"PARTIAL","NOT")))))</f>
      </c>
      <c r="AF134" s="12">
        <f>IF(Z134="",0,$N$17-AC134-AC123-AC112-AC101-AC90)</f>
        <v>0</v>
      </c>
      <c r="AG134" s="7" t="s">
        <v>296</v>
      </c>
      <c r="AH134" s="12">
        <f>IF(AC134=0,"",IF(AND(AI125="",AI126="",AI127="",AI128="",AI129="",AI130="",AI131="",AI132="",AI133=""),$J$36,IF(AND(AJ125="",AJ126="",AJ127="",AJ128="",AJ129="",AJ130="",AJ131="",AJ132="",AJ133=""),AH133-AI133,"")))</f>
      </c>
      <c r="AI134" s="12">
        <f t="shared" si="43"/>
      </c>
      <c r="AJ134" s="65">
        <f t="shared" si="44"/>
      </c>
      <c r="AK134" s="7" t="s">
        <v>296</v>
      </c>
      <c r="AL134" s="12">
        <f>IF(AC134=0,"",IF(AND(AM125="",AM126="",AM127="",AM128="",AM129="",AM130="",AM131="",AM132="",AM133=""),$J$37,IF(AND(AN125="",AN126="",AN127="",AN128="",AN129="",AN130="",AN131="",AN132="",AN133=""),AL133-AM133,"")))</f>
      </c>
      <c r="AM134" s="12">
        <f t="shared" si="45"/>
      </c>
      <c r="AN134" s="65">
        <f t="shared" si="46"/>
      </c>
      <c r="AO134" s="7" t="s">
        <v>296</v>
      </c>
      <c r="AU134" s="1"/>
    </row>
    <row r="135" spans="24:47" ht="12.75" hidden="1">
      <c r="X135" s="7"/>
      <c r="Y135" s="7"/>
      <c r="AH135" s="12"/>
      <c r="AI135" s="12"/>
      <c r="AU135" s="1" t="s">
        <v>265</v>
      </c>
    </row>
    <row r="136" spans="24:47" ht="12.75" hidden="1">
      <c r="X136" s="7">
        <v>6</v>
      </c>
      <c r="Y136" s="7">
        <v>1</v>
      </c>
      <c r="Z136" s="12">
        <f>IF($L$18&lt;6,"",(IF(ROUND(AF125,0)=0,"",$L$19)))</f>
      </c>
      <c r="AA136" s="65">
        <f>IF(Z136&lt;0.5,0,IF(Z136="",0,IF(AB125=0,$J$8,AB125)))</f>
        <v>0</v>
      </c>
      <c r="AB136" s="65">
        <f>IF(Z136="",0,IF(Z136&lt;0.5,0,IF(Z136&lt;=AF125,AA136+Z136*V62,$L$8)))</f>
        <v>0</v>
      </c>
      <c r="AC136" s="12">
        <f aca="true" t="shared" si="47" ref="AC136:AC145">ABS(AB136-AA136)</f>
        <v>0</v>
      </c>
      <c r="AD136">
        <f>IF($N$8=0,"",IF(Z136="","",IF(ROUND(AC136-$N$8,0)=0,"LOT 6",IF(Z136&lt;0.5,"",IF(AB136-AA136&lt;$N$8,"PARTIAL","NOT")))))</f>
      </c>
      <c r="AF136" s="12">
        <f>IF(Z136="",0,$N$8-AC136-AC125-AC114-AC103-AC92-AC81)</f>
        <v>0</v>
      </c>
      <c r="AG136" s="7" t="s">
        <v>46</v>
      </c>
      <c r="AH136" s="12">
        <f>IF(AC136=0,"",$J$39)</f>
      </c>
      <c r="AI136" s="12">
        <f>IF(AC136=0,"",IF(AC136&gt;=AH136,AH136,AC136))</f>
      </c>
      <c r="AJ136" s="65">
        <f>IF(AH136="","",IF(AI136=AC136,"",AA136+AI136*V62))</f>
      </c>
      <c r="AK136" s="7" t="s">
        <v>46</v>
      </c>
      <c r="AL136" s="12">
        <f>IF(AC136=0,"",$J$40)</f>
      </c>
      <c r="AM136" s="12">
        <f>IF(AC136=0,"",IF(AC136&gt;=AL136,AL136,AC136))</f>
      </c>
      <c r="AN136" s="65">
        <f>IF(AL136="","",IF(AM136=AC136,"",AA136+AM136*V62))</f>
      </c>
      <c r="AO136" s="7" t="s">
        <v>46</v>
      </c>
      <c r="AU136" s="1" t="s">
        <v>216</v>
      </c>
    </row>
    <row r="137" spans="24:47" ht="12.75" hidden="1">
      <c r="X137" s="7"/>
      <c r="Y137" s="7">
        <v>2</v>
      </c>
      <c r="Z137" s="12">
        <f aca="true" t="shared" si="48" ref="Z137:Z145">IF(ROUND(AF126,0)=0,"",IF(Z136="",$L$19,ABS(Z136-AC136)))</f>
      </c>
      <c r="AA137" s="65">
        <f>IF(Z137&lt;0.5,0,IF(Z137="",0,IF(AB126=0,$J$9,AB126)))</f>
        <v>0</v>
      </c>
      <c r="AB137" s="65">
        <f>IF(Z137="",0,IF(Z137&lt;0.5,0,IF(Z137&lt;=AF126,AA137+Z137*V63,$L$9)))</f>
        <v>0</v>
      </c>
      <c r="AC137" s="12">
        <f t="shared" si="47"/>
        <v>0</v>
      </c>
      <c r="AD137">
        <f>IF($N$9=0,"",IF(Z137="","",IF(ROUND(AC137-$N$9,0)=0,"LOT 6",IF(Z137&lt;0.5,"",IF(AB137-AA137&lt;$N$9,"PARTIAL","NOT")))))</f>
      </c>
      <c r="AF137" s="12">
        <f>IF(Z137="",0,$N$9-AC137-AC126-AC115-AC104-AC93-AC82)</f>
        <v>0</v>
      </c>
      <c r="AG137" s="7" t="s">
        <v>49</v>
      </c>
      <c r="AH137" s="12">
        <f>IF(AC137=0,"",IF(AI136="",$J$39,IF(AJ136="",AH136-AI136,"")))</f>
      </c>
      <c r="AI137" s="12">
        <f aca="true" t="shared" si="49" ref="AI137:AI145">IF(AH137="","",IF(AC137&gt;=AH137,AH137,AC137))</f>
      </c>
      <c r="AJ137" s="65">
        <f aca="true" t="shared" si="50" ref="AJ137:AJ145">IF(AH137="","",IF(ROUND(AI137-AH137,0)=0,AA137+AI137*V63,IF(AI137=AC137,"",AA137+AI137*V63)))</f>
      </c>
      <c r="AK137" s="7" t="s">
        <v>49</v>
      </c>
      <c r="AL137" s="12">
        <f>IF(AC137=0,"",IF(AM136="",$J$40,IF(AN136="",AL136-AM136,"")))</f>
      </c>
      <c r="AM137" s="12">
        <f aca="true" t="shared" si="51" ref="AM137:AM145">IF(AL137="","",IF(AC137&gt;=AL137,AL137,AC137))</f>
      </c>
      <c r="AN137" s="65">
        <f aca="true" t="shared" si="52" ref="AN137:AN145">IF(AL137="","",IF(ROUND(AM137-AL137,0)=0,AA137+AM137*V63,IF(AM137=AC137,"",AA137+AM137*V63)))</f>
      </c>
      <c r="AO137" s="7" t="s">
        <v>49</v>
      </c>
      <c r="AU137" s="1" t="s">
        <v>217</v>
      </c>
    </row>
    <row r="138" spans="24:47" ht="12.75" hidden="1">
      <c r="X138" s="7"/>
      <c r="Y138" s="7">
        <v>3</v>
      </c>
      <c r="Z138" s="12">
        <f t="shared" si="48"/>
      </c>
      <c r="AA138" s="65">
        <f>IF(Z138&lt;0.5,0,IF(Z138="",0,IF(AB127=0,$J$10,AB127)))</f>
        <v>0</v>
      </c>
      <c r="AB138" s="65">
        <f>IF(Z138="",0,IF(Z138&lt;0.5,0,IF(Z138&lt;=AF127,AA138+Z138*V64,$L$10)))</f>
        <v>0</v>
      </c>
      <c r="AC138" s="12">
        <f t="shared" si="47"/>
        <v>0</v>
      </c>
      <c r="AD138">
        <f>IF($N$10=0,"",IF(Z138="","",IF(ROUND(AC138-$N$10,0)=0,"LOT 6",IF(Z138&lt;0.5,"",IF(AC138&lt;$N$10,"PARTIAL","NOT")))))</f>
      </c>
      <c r="AF138" s="12">
        <f>IF(Z138="",0,$N$10-AC138-AC127-AC116-AC105-AC94-AC83)</f>
        <v>0</v>
      </c>
      <c r="AG138" s="7" t="s">
        <v>54</v>
      </c>
      <c r="AH138" s="12">
        <f>IF(AC138=0,"",IF(AND(AI136="",AI137=""),$J$39,IF(AND(AJ136="",AJ137=""),AH137-AI137,"")))</f>
      </c>
      <c r="AI138" s="12">
        <f t="shared" si="49"/>
      </c>
      <c r="AJ138" s="65">
        <f t="shared" si="50"/>
      </c>
      <c r="AK138" s="7" t="s">
        <v>54</v>
      </c>
      <c r="AL138" s="12">
        <f>IF(AC138=0,"",IF(AND(AM136="",AM137=""),$J$40,IF(AND(AN136="",AN137=""),AL137-AM137,"")))</f>
      </c>
      <c r="AM138" s="12">
        <f t="shared" si="51"/>
      </c>
      <c r="AN138" s="65">
        <f t="shared" si="52"/>
      </c>
      <c r="AO138" s="7" t="s">
        <v>54</v>
      </c>
      <c r="AU138" s="1" t="s">
        <v>218</v>
      </c>
    </row>
    <row r="139" spans="24:47" ht="12.75" hidden="1">
      <c r="X139" s="7"/>
      <c r="Y139" s="7">
        <v>4</v>
      </c>
      <c r="Z139" s="12">
        <f t="shared" si="48"/>
      </c>
      <c r="AA139" s="65">
        <f>IF(Z139&lt;0.5,0,IF(Z139="",0,IF(AB128=0,$J$11,AB128)))</f>
        <v>0</v>
      </c>
      <c r="AB139" s="65">
        <f>IF(Z139="",0,IF(Z139&lt;0.5,0,IF(Z139&lt;=AF128,AA139+Z139*V65,$L$11)))</f>
        <v>0</v>
      </c>
      <c r="AC139" s="12">
        <f t="shared" si="47"/>
        <v>0</v>
      </c>
      <c r="AD139">
        <f>IF($N$11=0,"",IF(Z139="","",IF(ROUND(AC139-$N$11,0)=0,"LOT 6",IF(Z139&lt;0.5,"",IF(AB139-AA139&lt;$N$11,"PARTIAL","NOT")))))</f>
      </c>
      <c r="AF139" s="12">
        <f>IF(Z139="",0,$N$11-AC139-AC128-AC117-AC106-AC95-AC84)</f>
        <v>0</v>
      </c>
      <c r="AG139" s="7" t="s">
        <v>56</v>
      </c>
      <c r="AH139" s="12">
        <f>IF(AC139=0,"",IF(AND(AI136="",AI137="",AI138=""),$J$39,IF(AND(AJ136="",AJ137="",AJ138=""),AH138-AI138,"")))</f>
      </c>
      <c r="AI139" s="12">
        <f t="shared" si="49"/>
      </c>
      <c r="AJ139" s="65">
        <f t="shared" si="50"/>
      </c>
      <c r="AK139" s="7" t="s">
        <v>56</v>
      </c>
      <c r="AL139" s="12">
        <f>IF(AC139=0,"",IF(AND(AM136="",AM137="",AM138=""),$J$40,IF(AND(AN136="",AN137="",AN138=""),AL138-AM138,"")))</f>
      </c>
      <c r="AM139" s="12">
        <f t="shared" si="51"/>
      </c>
      <c r="AN139" s="65">
        <f t="shared" si="52"/>
      </c>
      <c r="AO139" s="7" t="s">
        <v>56</v>
      </c>
      <c r="AU139" s="1" t="s">
        <v>219</v>
      </c>
    </row>
    <row r="140" spans="24:47" ht="12.75" hidden="1">
      <c r="X140" s="7"/>
      <c r="Y140" s="7">
        <v>5</v>
      </c>
      <c r="Z140" s="12">
        <f t="shared" si="48"/>
      </c>
      <c r="AA140" s="65">
        <f>IF(Z140&lt;0.5,0,IF(Z140="",0,IF(AB129=0,$J$12,AB129)))</f>
        <v>0</v>
      </c>
      <c r="AB140" s="65">
        <f>IF(Z140="",0,IF(Z140&lt;0.5,0,IF(Z140&lt;=AF129,AA140+Z140*V66,$L$12)))</f>
        <v>0</v>
      </c>
      <c r="AC140" s="12">
        <f t="shared" si="47"/>
        <v>0</v>
      </c>
      <c r="AD140">
        <f>IF($N$12=0,"",IF(Z140="","",IF(ROUND(AC140-$N$12,0)=0,"LOT 6",IF(Z140&lt;0.5,"",IF(AB140-AA140&lt;$N$12,"PARTIAL","NOT")))))</f>
      </c>
      <c r="AF140" s="12">
        <f>IF(Z140="",0,$N$12-AC140-AC129-AC118-AC107-AC96-AC85)</f>
        <v>0</v>
      </c>
      <c r="AG140" s="7" t="s">
        <v>58</v>
      </c>
      <c r="AH140" s="12">
        <f>IF(AC140=0,"",IF(AND(AI136="",AI137="",AI138="",AI139=""),$J$39,IF(AND(AJ136="",AJ137="",AJ138="",AJ139=""),AH139-AI139,"")))</f>
      </c>
      <c r="AI140" s="12">
        <f t="shared" si="49"/>
      </c>
      <c r="AJ140" s="65">
        <f t="shared" si="50"/>
      </c>
      <c r="AK140" s="7" t="s">
        <v>58</v>
      </c>
      <c r="AL140" s="12">
        <f>IF(AC140=0,"",IF(AND(AM136="",AM137="",AM138="",AM139=""),$J$40,IF(AND(AN136="",AN137="",AN138="",AN139=""),AL139-AM139,"")))</f>
      </c>
      <c r="AM140" s="12">
        <f t="shared" si="51"/>
      </c>
      <c r="AN140" s="65">
        <f t="shared" si="52"/>
      </c>
      <c r="AO140" s="7" t="s">
        <v>58</v>
      </c>
      <c r="AU140" s="1" t="s">
        <v>220</v>
      </c>
    </row>
    <row r="141" spans="24:47" ht="12.75" hidden="1">
      <c r="X141" s="7"/>
      <c r="Y141" s="7">
        <v>6</v>
      </c>
      <c r="Z141" s="12">
        <f t="shared" si="48"/>
      </c>
      <c r="AA141" s="65">
        <f>IF(Z141&lt;0.5,0,IF(Z141="",0,IF(AB130=0,$J$13,AB130)))</f>
        <v>0</v>
      </c>
      <c r="AB141" s="65">
        <f>IF(Z141="",0,IF(Z141&lt;0.5,0,IF(Z141&lt;=AF130,AA141+Z141*V67,$L$13)))</f>
        <v>0</v>
      </c>
      <c r="AC141" s="12">
        <f t="shared" si="47"/>
        <v>0</v>
      </c>
      <c r="AD141">
        <f>IF($N$13=0,"",IF(Z141="","",IF(ROUND(AC141-$N$13,0)=0,"LOT 6",IF(Z141&lt;0.5,"",IF(AB141-AA141&lt;$N$13,"PARTIAL","NOT")))))</f>
      </c>
      <c r="AF141" s="12">
        <f>IF(Z141="",0,$N$13-AC141-AC130-AC119-AC108-AC97-AC86)</f>
        <v>0</v>
      </c>
      <c r="AG141" s="7" t="s">
        <v>61</v>
      </c>
      <c r="AH141" s="12">
        <f>IF(AC141=0,"",IF(AND(AI136="",AI137="",AI138="",AI139="",AI140=""),$J$39,IF(AND(AJ136="",AJ137="",AJ138="",AJ139="",AJ140=""),AH140-AI140,"")))</f>
      </c>
      <c r="AI141" s="12">
        <f t="shared" si="49"/>
      </c>
      <c r="AJ141" s="65">
        <f t="shared" si="50"/>
      </c>
      <c r="AK141" s="7" t="s">
        <v>61</v>
      </c>
      <c r="AL141" s="12">
        <f>IF(AC141=0,"",IF(AND(AM136="",AM137="",AM138="",AM139="",AM140=""),$J$40,IF(AND(AN136="",AN137="",AN138="",AN139="",AN140=""),AL140-AM140,"")))</f>
      </c>
      <c r="AM141" s="12">
        <f t="shared" si="51"/>
      </c>
      <c r="AN141" s="65">
        <f t="shared" si="52"/>
      </c>
      <c r="AO141" s="7" t="s">
        <v>61</v>
      </c>
      <c r="AU141" s="1" t="s">
        <v>221</v>
      </c>
    </row>
    <row r="142" spans="24:47" ht="12.75" hidden="1">
      <c r="X142" s="7"/>
      <c r="Y142" s="7">
        <v>7</v>
      </c>
      <c r="Z142" s="12">
        <f t="shared" si="48"/>
      </c>
      <c r="AA142" s="65">
        <f>IF(Z142&lt;0.5,0,IF(Z142="",0,IF(AB131=0,$J$14,AB131)))</f>
        <v>0</v>
      </c>
      <c r="AB142" s="65">
        <f>IF(Z142="",0,IF(Z142&lt;0.5,0,IF(Z142&lt;=AF131,AA142+Z142*V68,$L$14)))</f>
        <v>0</v>
      </c>
      <c r="AC142" s="12">
        <f t="shared" si="47"/>
        <v>0</v>
      </c>
      <c r="AD142">
        <f>IF($N$14=0,"",IF(Z142="","",IF(ROUND(AC142-$N$14,0)=0,"LOT 6",IF(Z142&lt;0.5,"",IF(AB142-AA142&lt;$N$14,"PARTIAL","NOT")))))</f>
      </c>
      <c r="AF142" s="12">
        <f>IF(Z142="",0,$N$14-AC142-AC131-AC120-AC109-AC98-AC87)</f>
        <v>0</v>
      </c>
      <c r="AG142" s="7" t="s">
        <v>237</v>
      </c>
      <c r="AH142" s="12">
        <f>IF(AC142=0,"",IF(AND(AI136="",AI137="",AI138="",AI139="",AI140="",AI141=""),$J$39,IF(AND(AJ136="",AJ137="",AJ138="",AJ139="",AJ140="",AJ141=""),AH141-AI141,"")))</f>
      </c>
      <c r="AI142" s="12">
        <f t="shared" si="49"/>
      </c>
      <c r="AJ142" s="65">
        <f t="shared" si="50"/>
      </c>
      <c r="AK142" s="7" t="s">
        <v>237</v>
      </c>
      <c r="AL142" s="12">
        <f>IF(AC142=0,"",IF(AND(AM136="",AM137="",AM138="",AM139="",AM140="",AM141=""),$J$40,IF(AND(AN136="",AN137="",AN138="",AN139="",AN140="",AN141=""),AL141-AM141,"")))</f>
      </c>
      <c r="AM142" s="12">
        <f t="shared" si="51"/>
      </c>
      <c r="AN142" s="65">
        <f t="shared" si="52"/>
      </c>
      <c r="AO142" s="7" t="s">
        <v>237</v>
      </c>
      <c r="AU142" s="1" t="s">
        <v>222</v>
      </c>
    </row>
    <row r="143" spans="24:47" ht="12.75" hidden="1">
      <c r="X143" s="7"/>
      <c r="Y143" s="7">
        <v>8</v>
      </c>
      <c r="Z143" s="12">
        <f t="shared" si="48"/>
      </c>
      <c r="AA143" s="65">
        <f>IF(Z143&lt;0.5,0,IF(Z143="",0,IF(AB132=0,$J$15,AB132)))</f>
        <v>0</v>
      </c>
      <c r="AB143" s="65">
        <f>IF(Z143="",0,IF(Z143&lt;0.5,0,IF(Z143&lt;=AF132,AA143+Z143*V69,$L$15)))</f>
        <v>0</v>
      </c>
      <c r="AC143" s="12">
        <f t="shared" si="47"/>
        <v>0</v>
      </c>
      <c r="AD143">
        <f>IF($N$15=0,"",IF(Z143="","",IF(ROUND(AC143-$N$15,0)=0,"LOT 6",IF(Z143&lt;0.5,"",IF(AB143-AA143&lt;$N$15,"PARTIAL","NOT")))))</f>
      </c>
      <c r="AF143" s="12">
        <f>IF(Z143="",0,$N$15-AC143-AC132-AC121-AC110-AC99-AC88)</f>
        <v>0</v>
      </c>
      <c r="AG143" s="7" t="s">
        <v>238</v>
      </c>
      <c r="AH143" s="12">
        <f>IF(AC143=0,"",IF(AND(AI136="",AI137="",AI138="",AI139="",AI140="",AI141="",AI142=""),$J$39,IF(AND(AJ136="",AJ137="",AJ138="",AJ139="",AJ140="",AJ141="",AJ142=""),AH142-AI142,"")))</f>
      </c>
      <c r="AI143" s="12">
        <f t="shared" si="49"/>
      </c>
      <c r="AJ143" s="65">
        <f t="shared" si="50"/>
      </c>
      <c r="AK143" s="7" t="s">
        <v>238</v>
      </c>
      <c r="AL143" s="12">
        <f>IF(AC143=0,"",IF(AND(AM136="",AM137="",AM138="",AM139="",AM140="",AM141="",AM142=""),$J$40,IF(AND(AN136="",AN137="",AN138="",AN139="",AN140="",AN141="",AN142=""),AL142-AM142,"")))</f>
      </c>
      <c r="AM143" s="12">
        <f t="shared" si="51"/>
      </c>
      <c r="AN143" s="65">
        <f t="shared" si="52"/>
      </c>
      <c r="AO143" s="7" t="s">
        <v>238</v>
      </c>
      <c r="AU143" s="174" t="s">
        <v>190</v>
      </c>
    </row>
    <row r="144" spans="24:47" ht="12.75" hidden="1">
      <c r="X144" s="7"/>
      <c r="Y144" s="7">
        <v>9</v>
      </c>
      <c r="Z144" s="12">
        <f t="shared" si="48"/>
      </c>
      <c r="AA144" s="65">
        <f>IF(Z144&lt;0.5,0,IF(Z144="",0,IF(AB133=0,$J$16,AB133)))</f>
        <v>0</v>
      </c>
      <c r="AB144" s="65">
        <f>IF(Z144="",0,IF(Z144&lt;0.5,0,IF(Z144&lt;=AF133,AA144+Z144*V70,$L$16)))</f>
        <v>0</v>
      </c>
      <c r="AC144" s="12">
        <f t="shared" si="47"/>
        <v>0</v>
      </c>
      <c r="AD144">
        <f>IF($N$16=0,"",IF(Z144="","",IF(ROUND(AC144-$N$16,0)=0,"LOT 6",IF(Z144&lt;0.5,"",IF(AB144-AA144&lt;$N$16,"PARTIAL","NOT")))))</f>
      </c>
      <c r="AF144" s="12">
        <f>IF(Z144="",0,$N$16-AC144-AC133-AC122-AC111-AC100-AC89)</f>
        <v>0</v>
      </c>
      <c r="AG144" s="7" t="s">
        <v>276</v>
      </c>
      <c r="AH144" s="12">
        <f>IF(AC144=0,"",IF(AND(AI136="",AI137="",AI138="",AI139="",AI140="",AI141="",AI142="",AI143=""),$J$39,IF(AND(AJ136="",AJ137="",AJ138="",AJ139="",AJ140="",AJ141="",AJ142="",AJ143=""),AH143-AI143,"")))</f>
      </c>
      <c r="AI144" s="12">
        <f t="shared" si="49"/>
      </c>
      <c r="AJ144" s="65">
        <f t="shared" si="50"/>
      </c>
      <c r="AK144" s="7" t="s">
        <v>276</v>
      </c>
      <c r="AL144" s="12">
        <f>IF(AC144=0,"",IF(AND(AM136="",AM137="",AM138="",AM139="",AM140="",AM141="",AM142="",AM143=""),$J$40,IF(AND(AN136="",AN137="",AN138="",AN139="",AN140="",AN141="",AN142="",AN143=""),AL143-AM143,"")))</f>
      </c>
      <c r="AM144" s="12">
        <f t="shared" si="51"/>
      </c>
      <c r="AN144" s="65">
        <f t="shared" si="52"/>
      </c>
      <c r="AO144" s="7" t="s">
        <v>276</v>
      </c>
      <c r="AU144" s="174"/>
    </row>
    <row r="145" spans="24:47" ht="12.75" hidden="1">
      <c r="X145" s="7"/>
      <c r="Y145" s="7">
        <v>10</v>
      </c>
      <c r="Z145" s="12">
        <f t="shared" si="48"/>
      </c>
      <c r="AA145" s="65">
        <f>IF(Z145&lt;0.5,0,IF(Z145="",0,IF(AB134=0,$J$17,AB134)))</f>
        <v>0</v>
      </c>
      <c r="AB145" s="65">
        <f>IF(Z145="",0,IF(Z145&lt;0.5,0,IF(Z145&lt;=AF134,AA145+Z145*V71,$L$17)))</f>
        <v>0</v>
      </c>
      <c r="AC145" s="12">
        <f t="shared" si="47"/>
        <v>0</v>
      </c>
      <c r="AD145">
        <f>IF($N$17=0,"",IF(Z145="","",IF(ROUND(AC145-$N$17,0)=0,"LOT 6",IF(Z145&lt;0.5,"",IF(AB145-AA145&lt;$N$17,"PARTIAL","NOT")))))</f>
      </c>
      <c r="AF145" s="12">
        <f>IF(Z145="",0,$N$17-AC145-AC134-AC123-AC112-AC101-AC90)</f>
        <v>0</v>
      </c>
      <c r="AG145" s="7" t="s">
        <v>296</v>
      </c>
      <c r="AH145" s="12">
        <f>IF(AC145=0,"",IF(AND(AI136="",AI137="",AI138="",AI139="",AI140="",AI141="",AI142="",AI143="",AI144=""),$J$39,IF(AND(AJ136="",AJ137="",AJ138="",AJ139="",AJ140="",AJ141="",AJ142="",AJ143="",AJ144=""),AH144-AI144,"")))</f>
      </c>
      <c r="AI145" s="12">
        <f t="shared" si="49"/>
      </c>
      <c r="AJ145" s="65">
        <f t="shared" si="50"/>
      </c>
      <c r="AK145" s="7" t="s">
        <v>296</v>
      </c>
      <c r="AL145" s="12">
        <f>IF(AC145=0,"",IF(AND(AM136="",AM137="",AM138="",AM139="",AM140="",AM141="",AM142="",AM143="",AM144=""),$J$40,IF(AND(AN136="",AN137="",AN138="",AN139="",AN140="",AN141="",AN142="",AN143="",AN144=""),AL144-AM144,"")))</f>
      </c>
      <c r="AM145" s="12">
        <f t="shared" si="51"/>
      </c>
      <c r="AN145" s="65">
        <f t="shared" si="52"/>
      </c>
      <c r="AO145" s="7" t="s">
        <v>296</v>
      </c>
      <c r="AU145" s="174"/>
    </row>
    <row r="146" spans="24:47" ht="12.75" hidden="1">
      <c r="X146" s="7"/>
      <c r="Y146" s="7"/>
      <c r="AU146" s="1" t="s">
        <v>191</v>
      </c>
    </row>
    <row r="147" spans="24:47" ht="12.75" hidden="1">
      <c r="X147" s="7">
        <v>7</v>
      </c>
      <c r="Y147" s="7">
        <v>1</v>
      </c>
      <c r="Z147" s="12">
        <f>IF($L$18&lt;7,"",(IF(AF136=0,"",$L$19)))</f>
      </c>
      <c r="AA147" s="65">
        <f>IF(Z147&lt;0.5,0,IF(Z147="",0,IF(AB136=0,$J$8,AB136)))</f>
        <v>0</v>
      </c>
      <c r="AB147" s="65">
        <f>IF(Z147="",0,IF(Z147&lt;0.5,0,IF(Z147&lt;=AF136,AA147+Z147*V62,$L$8)))</f>
        <v>0</v>
      </c>
      <c r="AC147" s="12">
        <f aca="true" t="shared" si="53" ref="AC147:AC156">ABS(AB147-AA147)</f>
        <v>0</v>
      </c>
      <c r="AD147">
        <f>IF($N$8=0,"",IF(Z147="","",IF(ROUND(AC147-$N$8,0)=0,"LOT 7",IF(Z147&lt;0.5,"",IF(AB147-AA147&lt;$N$8,"PARTIAL","NOT")))))</f>
      </c>
      <c r="AF147" s="12">
        <f>IF(Z147="",0,$N$8-AC147-AC136-AC125-AC114-AC103-AC92-AC81)</f>
        <v>0</v>
      </c>
      <c r="AG147" s="7" t="s">
        <v>46</v>
      </c>
      <c r="AH147" s="12">
        <f>IF(AC147=0,"",$J$42)</f>
      </c>
      <c r="AI147" s="12">
        <f>IF(AC147=0,"",IF(AC147&gt;=AH147,AH147,AC147))</f>
      </c>
      <c r="AJ147" s="65">
        <f>IF(AH147="","",IF(AI147=AC147,"",AA147+AI147*V62))</f>
      </c>
      <c r="AK147" s="7" t="s">
        <v>46</v>
      </c>
      <c r="AL147" s="12">
        <f>IF(AC147=0,"",$J$43)</f>
      </c>
      <c r="AM147" s="12">
        <f>IF(AC147=0,"",IF(AC147&gt;=AL147,AL147,AC147))</f>
      </c>
      <c r="AN147" s="65">
        <f>IF(AL147="","",IF(AM147=AC147,"",AA147+AM147*V62))</f>
      </c>
      <c r="AO147" s="7" t="s">
        <v>46</v>
      </c>
      <c r="AU147" s="1" t="s">
        <v>192</v>
      </c>
    </row>
    <row r="148" spans="24:47" ht="12.75" hidden="1">
      <c r="X148" s="7"/>
      <c r="Y148" s="7">
        <v>2</v>
      </c>
      <c r="Z148" s="12">
        <f>IF(AF137=0,"",IF(Z147="",$L$19,ABS(Z147-AC147)))</f>
      </c>
      <c r="AA148" s="65">
        <f>IF(Z148&lt;0.5,0,IF(Z148="",0,IF(AB137=0,$J$9,AB137)))</f>
        <v>0</v>
      </c>
      <c r="AB148" s="65">
        <f>IF(Z148="",0,IF(Z148&lt;0.5,0,IF(Z148&lt;=AF137,AA148+Z148*V63,$L$9)))</f>
        <v>0</v>
      </c>
      <c r="AC148" s="12">
        <f t="shared" si="53"/>
        <v>0</v>
      </c>
      <c r="AD148">
        <f>IF($N$9=0,"",IF(Z148="","",IF(ROUND(AC148-$N$9,0)=0,"LOT 7",IF(Z148&lt;0.5,"",IF(AB148-AA148&lt;$N$9,"PARTIAL","NOT")))))</f>
      </c>
      <c r="AF148" s="12">
        <f>IF(Z148="",0,$N$9-AC148-AC137-AC126-AC115-AC104-AC93-AC82)</f>
        <v>0</v>
      </c>
      <c r="AG148" s="7" t="s">
        <v>49</v>
      </c>
      <c r="AH148" s="12">
        <f>IF(AC148=0,"",IF(AI147="",$J$42,IF(AJ147="",AH147-AI147,"")))</f>
      </c>
      <c r="AI148" s="12">
        <f aca="true" t="shared" si="54" ref="AI148:AI156">IF(AH148="","",IF(AC148&gt;=AH148,AH148,AC148))</f>
      </c>
      <c r="AJ148" s="65">
        <f aca="true" t="shared" si="55" ref="AJ148:AJ156">IF(AH148="","",IF(ROUND(AI148-AH148,0)=0,AA148+AI148*V63,IF(AI148=AC148,"",AA148+AI148*V63)))</f>
      </c>
      <c r="AK148" s="7" t="s">
        <v>49</v>
      </c>
      <c r="AL148" s="12">
        <f>IF(AC148=0,"",IF(AM147="",$J$43,IF(AN147="",AL147-AM147,"")))</f>
      </c>
      <c r="AM148" s="12">
        <f aca="true" t="shared" si="56" ref="AM148:AM156">IF(AL148="","",IF(AC148&gt;=AL148,AL148,AC148))</f>
      </c>
      <c r="AN148" s="65">
        <f aca="true" t="shared" si="57" ref="AN148:AN156">IF(AL148="","",IF(ROUND(AM148-AL148,0)=0,AA148+AM148*V63,IF(AM148=AC148,"",AA148+AM148*V63)))</f>
      </c>
      <c r="AO148" s="7" t="s">
        <v>49</v>
      </c>
      <c r="AU148" s="1" t="s">
        <v>193</v>
      </c>
    </row>
    <row r="149" spans="24:47" ht="12.75" hidden="1">
      <c r="X149" s="7"/>
      <c r="Y149" s="7">
        <v>3</v>
      </c>
      <c r="Z149" s="12">
        <f>IF(AF138=0,"",IF(Z148="",$L$19,ABS(Z148-AC148)))</f>
      </c>
      <c r="AA149" s="65">
        <f>IF(Z149&lt;0.5,0,IF(Z149="",0,IF(AB138=0,$J$10,AB138)))</f>
        <v>0</v>
      </c>
      <c r="AB149" s="65">
        <f>IF(Z149="",0,IF(Z149&lt;0.5,0,IF(Z149&lt;=AF138,AA149+Z149*V64,$L$10)))</f>
        <v>0</v>
      </c>
      <c r="AC149" s="12">
        <f t="shared" si="53"/>
        <v>0</v>
      </c>
      <c r="AD149">
        <f>IF($N$10=0,"",IF(Z149="","",IF(ROUND(AC149-$N$10,0)=0,"LOT 7",IF(Z149&lt;0.5,"",IF(AC149&lt;$N$10,"PARTIAL","NOT")))))</f>
      </c>
      <c r="AF149" s="12">
        <f>IF(Z149="",0,$N$10-AC149-AC138-AC127-AC116-AC105-AC94-AC83)</f>
        <v>0</v>
      </c>
      <c r="AG149" s="7" t="s">
        <v>54</v>
      </c>
      <c r="AH149" s="12">
        <f>IF(AC149=0,"",IF(AND(AI147="",AI148=""),$J$42,IF(AND(AJ147="",AJ148=""),AH148-AI148,"")))</f>
      </c>
      <c r="AI149" s="12">
        <f t="shared" si="54"/>
      </c>
      <c r="AJ149" s="65">
        <f t="shared" si="55"/>
      </c>
      <c r="AK149" s="7" t="s">
        <v>54</v>
      </c>
      <c r="AL149" s="12">
        <f>IF(AC149=0,"",IF(AND(AM147="",AM148=""),$J$43,IF(AND(AN147="",AN148=""),AL148-AM148,"")))</f>
      </c>
      <c r="AM149" s="12">
        <f t="shared" si="56"/>
      </c>
      <c r="AN149" s="65">
        <f t="shared" si="57"/>
      </c>
      <c r="AO149" s="7" t="s">
        <v>54</v>
      </c>
      <c r="AU149" s="1" t="s">
        <v>194</v>
      </c>
    </row>
    <row r="150" spans="24:47" ht="12.75" hidden="1">
      <c r="X150" s="7"/>
      <c r="Y150" s="7">
        <v>4</v>
      </c>
      <c r="Z150" s="12">
        <f>IF(AF139=0,"",IF(Z149="",$L$19,ABS(Z149-AC149)))</f>
      </c>
      <c r="AA150" s="65">
        <f>IF(Z150&lt;0.5,0,IF(Z150="",0,IF(AB139=0,$J$11,AB139)))</f>
        <v>0</v>
      </c>
      <c r="AB150" s="65">
        <f>IF(Z150="",0,IF(Z150&lt;0.5,0,IF(Z150&lt;=AF139,AA150+Z150*V65,$L$11)))</f>
        <v>0</v>
      </c>
      <c r="AC150" s="12">
        <f t="shared" si="53"/>
        <v>0</v>
      </c>
      <c r="AD150">
        <f>IF($N$11=0,"",IF(Z150="","",IF(ROUND(AC150-$N$11,0)=0,"LOT 7",IF(Z150&lt;0.5,"",IF(AB150-AA150&lt;$N$11,"PARTIAL","NOT")))))</f>
      </c>
      <c r="AF150" s="12">
        <f>IF(Z150="",0,$N$11-AC150-AC139-AC128-AC117-AC106-AC95-AC84)</f>
        <v>0</v>
      </c>
      <c r="AG150" s="7" t="s">
        <v>56</v>
      </c>
      <c r="AH150" s="12">
        <f>IF(AC150=0,"",IF(AND(AI147="",AI148="",AI149=""),$J$42,IF(AND(AJ147="",AJ148="",AJ149=""),AH149-AI149,"")))</f>
      </c>
      <c r="AI150" s="12">
        <f t="shared" si="54"/>
      </c>
      <c r="AJ150" s="65">
        <f t="shared" si="55"/>
      </c>
      <c r="AK150" s="7" t="s">
        <v>56</v>
      </c>
      <c r="AL150" s="12">
        <f>IF(AC150=0,"",IF(AND(AM147="",AM148="",AM149=""),$J$43,IF(AND(AN147="",AN148="",AN149=""),AL149-AM149,"")))</f>
      </c>
      <c r="AM150" s="12">
        <f t="shared" si="56"/>
      </c>
      <c r="AN150" s="65">
        <f t="shared" si="57"/>
      </c>
      <c r="AO150" s="7" t="s">
        <v>56</v>
      </c>
      <c r="AU150" s="1" t="s">
        <v>195</v>
      </c>
    </row>
    <row r="151" spans="24:47" ht="12.75" hidden="1">
      <c r="X151" s="7"/>
      <c r="Y151" s="7">
        <v>5</v>
      </c>
      <c r="Z151" s="12">
        <f>IF(AF140=0,"",IF(Z150="",$L$19,ABS(Z150-AC150)))</f>
      </c>
      <c r="AA151" s="65">
        <f>IF(Z151&lt;0.5,0,IF(Z151="",0,IF(AB140=0,$J$12,AB140)))</f>
        <v>0</v>
      </c>
      <c r="AB151" s="65">
        <f>IF(Z151="",0,IF(Z151&lt;0.5,0,IF(Z151&lt;=AF140,AA151+Z151*V66,$L$12)))</f>
        <v>0</v>
      </c>
      <c r="AC151" s="12">
        <f t="shared" si="53"/>
        <v>0</v>
      </c>
      <c r="AD151">
        <f>IF($N$12=0,"",IF(Z151="","",IF(ROUND(AC151-$N$12,0)=0,"LOT 7",IF(Z151&lt;0.5,"",IF(AB151-AA151&lt;$N$12,"PARTIAL","NOT")))))</f>
      </c>
      <c r="AF151" s="12">
        <f>IF(Z151="",0,$N$12-AC151-AC140-AC129-AC118-AC107-AC96-AC85)</f>
        <v>0</v>
      </c>
      <c r="AG151" s="7" t="s">
        <v>58</v>
      </c>
      <c r="AH151" s="12">
        <f>IF(AC151=0,"",IF(AND(AI147="",AI148="",AI149="",AI150=""),$J$42,IF(AND(AJ147="",AJ148="",AJ149="",AJ150=""),AH150-AI150,"")))</f>
      </c>
      <c r="AI151" s="12">
        <f t="shared" si="54"/>
      </c>
      <c r="AJ151" s="65">
        <f t="shared" si="55"/>
      </c>
      <c r="AK151" s="7" t="s">
        <v>58</v>
      </c>
      <c r="AL151" s="12">
        <f>IF(AC151=0,"",IF(AND(AM147="",AM148="",AM149="",AM150=""),$J$43,IF(AND(AN147="",AN148="",AN149="",AN150=""),AL150-AM150,"")))</f>
      </c>
      <c r="AM151" s="12">
        <f t="shared" si="56"/>
      </c>
      <c r="AN151" s="65">
        <f t="shared" si="57"/>
      </c>
      <c r="AO151" s="7" t="s">
        <v>58</v>
      </c>
      <c r="AU151" s="1" t="s">
        <v>196</v>
      </c>
    </row>
    <row r="152" spans="24:47" ht="12.75" hidden="1">
      <c r="X152" s="7"/>
      <c r="Y152" s="7">
        <v>6</v>
      </c>
      <c r="Z152" s="12">
        <f>IF(ROUND(AF141,0)=0,"",IF(Z151="",$L$19,ABS(Z151-AC151)))</f>
      </c>
      <c r="AA152" s="65">
        <f>IF(Z152&lt;0.5,0,IF(Z152="",0,IF(AB141=0,$J$13,AB141)))</f>
        <v>0</v>
      </c>
      <c r="AB152" s="65">
        <f>IF(Z152="",0,IF(Z152&lt;0.5,0,IF(Z152&lt;=AF141,AA152+Z152*V67,$L$13)))</f>
        <v>0</v>
      </c>
      <c r="AC152" s="12">
        <f t="shared" si="53"/>
        <v>0</v>
      </c>
      <c r="AD152">
        <f>IF($N$13=0,"",IF(Z152="","",IF(ROUND(AC152-$N$13,0)=0,"LOT 7",IF(Z152&lt;0.5,"",IF(AB152-AA152&lt;$N$13,"PARTIAL","NOT")))))</f>
      </c>
      <c r="AF152" s="12">
        <f>IF(Z152="",0,$N$13-AC152-AC141-AC130-AC119-AC108-AC97-AC86)</f>
        <v>0</v>
      </c>
      <c r="AG152" s="7" t="s">
        <v>61</v>
      </c>
      <c r="AH152" s="12">
        <f>IF(AC152=0,"",IF(AND(AI147="",AI148="",AI149="",AI150="",AI151=""),$J$42,IF(AND(AJ147="",AJ148="",AJ149="",AJ150="",AJ151=""),AH151-AI151,"")))</f>
      </c>
      <c r="AI152" s="12">
        <f t="shared" si="54"/>
      </c>
      <c r="AJ152" s="65">
        <f t="shared" si="55"/>
      </c>
      <c r="AK152" s="7" t="s">
        <v>61</v>
      </c>
      <c r="AL152" s="12">
        <f>IF(AC152=0,"",IF(AND(AM147="",AM148="",AM149="",AM150="",AM151=""),$J$43,IF(AND(AN147="",AN148="",AN149="",AN150="",AN151=""),AL151-AM151,"")))</f>
      </c>
      <c r="AM152" s="12">
        <f t="shared" si="56"/>
      </c>
      <c r="AN152" s="65">
        <f t="shared" si="57"/>
      </c>
      <c r="AO152" s="7" t="s">
        <v>61</v>
      </c>
      <c r="AU152" s="1" t="s">
        <v>266</v>
      </c>
    </row>
    <row r="153" spans="24:47" ht="12.75" hidden="1">
      <c r="X153" s="7"/>
      <c r="Y153" s="7">
        <v>7</v>
      </c>
      <c r="Z153" s="12">
        <f>IF(ROUND(AF142,0)=0,"",IF(Z152="",$L$19,ABS(Z152-AC152)))</f>
      </c>
      <c r="AA153" s="65">
        <f>IF(Z153&lt;0.5,0,IF(Z153="",0,IF(AB142=0,$J$14,AB142)))</f>
        <v>0</v>
      </c>
      <c r="AB153" s="65">
        <f>IF(Z153="",0,IF(Z153&lt;0.5,0,IF(Z153&lt;=AF142,AA153+Z153*V68,$L$14)))</f>
        <v>0</v>
      </c>
      <c r="AC153" s="12">
        <f t="shared" si="53"/>
        <v>0</v>
      </c>
      <c r="AD153">
        <f>IF($N$14=0,"",IF(Z153="","",IF(ROUND(AC153-$N$14,0)=0,"LOT 7",IF(Z153&lt;0.5,"",IF(AB153-AA153&lt;$N$14,"PARTIAL","NOT")))))</f>
      </c>
      <c r="AF153" s="12">
        <f>IF(Z153="",0,$N$14-AC153-AC142-AC131-AC120-AC109-AC98-AC87)</f>
        <v>0</v>
      </c>
      <c r="AG153" s="7" t="s">
        <v>237</v>
      </c>
      <c r="AH153" s="12">
        <f>IF(AC153=0,"",IF(AND(AI149="",AI150="",AI151="",AI152=""),$J$42,IF(AND(AJ149="",AJ150="",AJ151="",AJ152=""),AH152-AI152,"")))</f>
      </c>
      <c r="AI153" s="12">
        <f t="shared" si="54"/>
      </c>
      <c r="AJ153" s="65">
        <f t="shared" si="55"/>
      </c>
      <c r="AK153" s="7" t="s">
        <v>237</v>
      </c>
      <c r="AL153" s="12">
        <f>IF(AC153=0,"",IF(AND(AM148="",AM149="",AM150="",AM151="",AM152=""),$J$43,IF(AND(AN148="",AN149="",AN150="",AN151="",AN152=""),AL152-AM152,"")))</f>
      </c>
      <c r="AM153" s="12">
        <f t="shared" si="56"/>
      </c>
      <c r="AN153" s="65">
        <f t="shared" si="57"/>
      </c>
      <c r="AO153" s="7" t="s">
        <v>237</v>
      </c>
      <c r="AU153" s="1" t="s">
        <v>267</v>
      </c>
    </row>
    <row r="154" spans="25:47" ht="12.75" hidden="1">
      <c r="Y154" s="7">
        <v>8</v>
      </c>
      <c r="Z154" s="12">
        <f>IF(ROUND(AF143,0)=0,"",IF(Z153="",$L$19,ABS(Z153-AC153)))</f>
      </c>
      <c r="AA154" s="65">
        <f>IF(Z154&lt;0.5,0,IF(Z154="",0,IF(AB143=0,$J$15,AB143)))</f>
        <v>0</v>
      </c>
      <c r="AB154" s="65">
        <f>IF(Z154="",0,IF(Z154&lt;0.5,0,IF(Z154&lt;=AF143,AA154+Z154*V69,$L$15)))</f>
        <v>0</v>
      </c>
      <c r="AC154" s="12">
        <f t="shared" si="53"/>
        <v>0</v>
      </c>
      <c r="AD154">
        <f>IF($N$15=0,"",IF(Z154="","",IF(ROUND(AC154-$N$15,0)=0,"LOT 7",IF(Z154&lt;0.5,"",IF(AB154-AA154&lt;$N$15,"PARTIAL","NOT")))))</f>
      </c>
      <c r="AF154" s="12">
        <f>IF(Z154="",0,$N$15-AC154-AC143-AC132-AC121-AC110-AC99-AC88)</f>
        <v>0</v>
      </c>
      <c r="AG154" s="7" t="s">
        <v>238</v>
      </c>
      <c r="AH154" s="12">
        <f>IF(AC154=0,"",IF(AND(AI150="",AI151="",AI152="",AI153=""),$J$42,IF(AND(AJ150="",AJ151="",AJ152="",AJ153=""),AH153-AI153,"")))</f>
      </c>
      <c r="AI154" s="12">
        <f t="shared" si="54"/>
      </c>
      <c r="AJ154" s="65">
        <f t="shared" si="55"/>
      </c>
      <c r="AK154" s="7" t="s">
        <v>238</v>
      </c>
      <c r="AL154" s="12">
        <f>IF(AC154=0,"",IF(AND(AM149="",AM150="",AM151="",AM152="",AM153=""),$J$43,IF(AND(AN149="",AN150="",AN151="",AN152="",AN153=""),AL153-AM153,"")))</f>
      </c>
      <c r="AM154" s="12">
        <f t="shared" si="56"/>
      </c>
      <c r="AN154" s="65">
        <f t="shared" si="57"/>
      </c>
      <c r="AO154" s="7" t="s">
        <v>238</v>
      </c>
      <c r="AU154" s="1" t="s">
        <v>268</v>
      </c>
    </row>
    <row r="155" spans="25:47" ht="12.75" hidden="1">
      <c r="Y155" s="7">
        <v>9</v>
      </c>
      <c r="Z155" s="12">
        <f>IF(ROUND(AF144,0)=0,"",IF(Z154="",$L$19,ABS(Z154-AC154)))</f>
      </c>
      <c r="AA155" s="65">
        <f>IF(Z155&lt;0.5,0,IF(Z155="",0,IF(AB144=0,$J$16,AB144)))</f>
        <v>0</v>
      </c>
      <c r="AB155" s="65">
        <f>IF(Z155="",0,IF(Z155&lt;0.5,0,IF(Z155&lt;=AF144,AA155+Z155*V70,$L$16)))</f>
        <v>0</v>
      </c>
      <c r="AC155" s="12">
        <f t="shared" si="53"/>
        <v>0</v>
      </c>
      <c r="AD155">
        <f>IF($N$16=0,"",IF(Z155="","",IF(ROUND(AC155-$N$16,0)=0,"LOT 7",IF(Z155&lt;0.5,"",IF(AB155-AA155&lt;$N$16,"PARTIAL","NOT")))))</f>
      </c>
      <c r="AF155" s="12">
        <f>IF(Z155="",0,$N$16-AC155-AC144-AC133-AC122-AC111-AC100-AC89)</f>
        <v>0</v>
      </c>
      <c r="AG155" s="7" t="s">
        <v>276</v>
      </c>
      <c r="AH155" s="12">
        <f>IF(AC155=0,"",IF(AND(AI150="",AI151="",AI152="",AI153="",AI154=""),$J$42,IF(AND(AJ150="",AJ151="",AJ152="",AJ153="",AJ154=""),AH154-AI154,"")))</f>
      </c>
      <c r="AI155" s="12">
        <f t="shared" si="54"/>
      </c>
      <c r="AJ155" s="65">
        <f t="shared" si="55"/>
      </c>
      <c r="AK155" s="7" t="s">
        <v>276</v>
      </c>
      <c r="AL155" s="12">
        <f>IF(AC155=0,"",IF(AND(AM149="",AM150="",AM151="",AM152="",AM153="",AM154=""),$J$43,IF(AND(AN149="",AN150="",AN151="",AN152="",AN153="",AN154=""),AL154-AM154,"")))</f>
      </c>
      <c r="AM155" s="12">
        <f t="shared" si="56"/>
      </c>
      <c r="AN155" s="65">
        <f t="shared" si="57"/>
      </c>
      <c r="AO155" s="7" t="s">
        <v>276</v>
      </c>
      <c r="AU155" s="1" t="s">
        <v>208</v>
      </c>
    </row>
    <row r="156" spans="25:47" ht="12.75" hidden="1">
      <c r="Y156" s="7">
        <v>10</v>
      </c>
      <c r="Z156" s="12">
        <f>IF(ROUND(AF145,0)=0,"",IF(Z155="",$L$19,ABS(Z155-AC155)))</f>
      </c>
      <c r="AA156" s="65">
        <f>IF(Z156&lt;0.5,0,IF(Z156="",0,IF(AB145=0,$J$17,AB145)))</f>
        <v>0</v>
      </c>
      <c r="AB156" s="65">
        <f>IF(Z156="",0,IF(Z156&lt;0.5,0,IF(Z156&lt;=AF145,AA156+Z156*V71,$L$17)))</f>
        <v>0</v>
      </c>
      <c r="AC156" s="12">
        <f t="shared" si="53"/>
        <v>0</v>
      </c>
      <c r="AD156">
        <f>IF($N$17=0,"",IF(Z156="","",IF(ROUND(AC156-$N$17,0)=0,"LOT 7",IF(Z156&lt;0.5,"",IF(AB156-AA156&lt;$N$17,"PARTIAL","NOT")))))</f>
      </c>
      <c r="AF156" s="12">
        <f>IF(Z156="",0,$N$17-AC156-AC145-AC134-AC123-AC112-AC101-AC90)</f>
        <v>0</v>
      </c>
      <c r="AG156" s="7" t="s">
        <v>296</v>
      </c>
      <c r="AH156" s="12">
        <f>IF(AC156=0,"",IF(AND(AI150="",AI151="",AI152="",AI153="",AI154="",AI155=""),$J$42,IF(AND(AJ150="",AJ151="",AJ152="",AJ153="",AJ154="",AJ155=""),AH155-AI155,"")))</f>
      </c>
      <c r="AI156" s="12">
        <f t="shared" si="54"/>
      </c>
      <c r="AJ156" s="65">
        <f t="shared" si="55"/>
      </c>
      <c r="AK156" s="7" t="s">
        <v>296</v>
      </c>
      <c r="AL156" s="12">
        <f>IF(AC156=0,"",IF(AND(AM149="",AM150="",AM151="",AM152="",AM153="",AM154="",AM155=""),$J$43,IF(AND(AN149="",AN150="",AN151="",AN152="",AN153="",AN154="",AN155=""),AL155-AM155,"")))</f>
      </c>
      <c r="AM156" s="12">
        <f t="shared" si="56"/>
      </c>
      <c r="AN156" s="65">
        <f t="shared" si="57"/>
      </c>
      <c r="AO156" s="7" t="s">
        <v>296</v>
      </c>
      <c r="AU156" s="1" t="s">
        <v>209</v>
      </c>
    </row>
    <row r="157" spans="26:47" ht="12.75" hidden="1">
      <c r="Z157" s="12"/>
      <c r="AC157" s="12"/>
      <c r="AF157" s="12"/>
      <c r="AU157" s="1" t="s">
        <v>210</v>
      </c>
    </row>
    <row r="158" ht="12.75" hidden="1">
      <c r="AU158" s="1" t="s">
        <v>211</v>
      </c>
    </row>
    <row r="159" ht="12.75">
      <c r="AU159" s="1" t="s">
        <v>212</v>
      </c>
    </row>
    <row r="160" ht="12.75">
      <c r="AU160" s="1" t="s">
        <v>213</v>
      </c>
    </row>
    <row r="161" ht="12.75">
      <c r="AU161" s="1" t="s">
        <v>214</v>
      </c>
    </row>
    <row r="162" ht="12.75">
      <c r="AU162" s="174" t="s">
        <v>224</v>
      </c>
    </row>
    <row r="163" ht="12.75">
      <c r="AU163" s="1" t="s">
        <v>223</v>
      </c>
    </row>
    <row r="164" ht="12.75">
      <c r="AU164" s="1" t="s">
        <v>225</v>
      </c>
    </row>
    <row r="165" ht="12.75">
      <c r="AU165" s="1" t="s">
        <v>226</v>
      </c>
    </row>
    <row r="166" ht="12.75">
      <c r="AU166" s="1" t="s">
        <v>227</v>
      </c>
    </row>
    <row r="167" ht="12.75">
      <c r="AU167" s="1" t="s">
        <v>228</v>
      </c>
    </row>
    <row r="168" ht="12.75">
      <c r="AU168" s="1" t="s">
        <v>229</v>
      </c>
    </row>
    <row r="169" ht="12.75">
      <c r="AU169" s="1" t="s">
        <v>269</v>
      </c>
    </row>
    <row r="170" ht="12.75">
      <c r="AU170" s="1" t="s">
        <v>270</v>
      </c>
    </row>
    <row r="171" ht="12.75">
      <c r="AU171" s="1" t="s">
        <v>271</v>
      </c>
    </row>
    <row r="172" ht="12.75">
      <c r="AU172" s="1" t="s">
        <v>201</v>
      </c>
    </row>
    <row r="173" ht="12.75">
      <c r="AU173" s="1" t="s">
        <v>202</v>
      </c>
    </row>
    <row r="174" ht="12.75">
      <c r="AU174" s="1" t="s">
        <v>203</v>
      </c>
    </row>
    <row r="175" ht="12.75">
      <c r="AU175" s="1" t="s">
        <v>204</v>
      </c>
    </row>
    <row r="176" ht="12.75">
      <c r="AU176" s="1" t="s">
        <v>205</v>
      </c>
    </row>
    <row r="177" ht="12.75">
      <c r="AU177" s="1" t="s">
        <v>206</v>
      </c>
    </row>
    <row r="178" ht="12.75">
      <c r="AU178" s="1" t="s">
        <v>207</v>
      </c>
    </row>
  </sheetData>
  <sheetProtection password="D86C" sheet="1" objects="1" scenarios="1"/>
  <mergeCells count="60">
    <mergeCell ref="E26:F26"/>
    <mergeCell ref="E29:F29"/>
    <mergeCell ref="F16:G16"/>
    <mergeCell ref="F17:G17"/>
    <mergeCell ref="D16:E16"/>
    <mergeCell ref="D17:E17"/>
    <mergeCell ref="D47:E47"/>
    <mergeCell ref="D44:E44"/>
    <mergeCell ref="D45:E45"/>
    <mergeCell ref="D46:E46"/>
    <mergeCell ref="F14:G14"/>
    <mergeCell ref="H14:I14"/>
    <mergeCell ref="D15:E15"/>
    <mergeCell ref="F15:G15"/>
    <mergeCell ref="H15:I15"/>
    <mergeCell ref="D14:E14"/>
    <mergeCell ref="D48:E48"/>
    <mergeCell ref="D49:E49"/>
    <mergeCell ref="D50:E50"/>
    <mergeCell ref="D7:E7"/>
    <mergeCell ref="D8:E8"/>
    <mergeCell ref="D9:E9"/>
    <mergeCell ref="D10:E10"/>
    <mergeCell ref="D11:E11"/>
    <mergeCell ref="D12:E12"/>
    <mergeCell ref="D13:E13"/>
    <mergeCell ref="AL77:AN77"/>
    <mergeCell ref="J6:K6"/>
    <mergeCell ref="M5:N5"/>
    <mergeCell ref="H5:I5"/>
    <mergeCell ref="J5:K5"/>
    <mergeCell ref="H6:I6"/>
    <mergeCell ref="H12:I12"/>
    <mergeCell ref="H13:I13"/>
    <mergeCell ref="J20:K20"/>
    <mergeCell ref="L50:M51"/>
    <mergeCell ref="AH76:AJ77"/>
    <mergeCell ref="E5:G5"/>
    <mergeCell ref="E6:G6"/>
    <mergeCell ref="E32:F32"/>
    <mergeCell ref="E35:F35"/>
    <mergeCell ref="E38:F38"/>
    <mergeCell ref="E41:F41"/>
    <mergeCell ref="F11:G11"/>
    <mergeCell ref="F12:G12"/>
    <mergeCell ref="F13:G13"/>
    <mergeCell ref="F7:G7"/>
    <mergeCell ref="F8:G8"/>
    <mergeCell ref="F9:G9"/>
    <mergeCell ref="F10:G10"/>
    <mergeCell ref="K50:K51"/>
    <mergeCell ref="H8:I8"/>
    <mergeCell ref="H9:I9"/>
    <mergeCell ref="H18:I18"/>
    <mergeCell ref="H19:I19"/>
    <mergeCell ref="H10:I10"/>
    <mergeCell ref="H11:I11"/>
    <mergeCell ref="H44:M47"/>
    <mergeCell ref="H16:I16"/>
    <mergeCell ref="H17:I17"/>
  </mergeCells>
  <dataValidations count="3">
    <dataValidation type="list" allowBlank="1" showInputMessage="1" showErrorMessage="1" sqref="P14:P17">
      <formula1>$AS$83:$AS$92</formula1>
    </dataValidation>
    <dataValidation type="list" allowBlank="1" showInputMessage="1" showErrorMessage="1" sqref="P19">
      <formula1>$AU$83:$AU$166</formula1>
    </dataValidation>
    <dataValidation type="list" allowBlank="1" showInputMessage="1" showErrorMessage="1" sqref="P13">
      <formula1>$AS$83:$AS$95</formula1>
    </dataValidation>
  </dataValidations>
  <printOptions horizontalCentered="1" verticalCentered="1"/>
  <pageMargins left="0.17" right="0.17" top="0.25" bottom="0.25" header="0" footer="0"/>
  <pageSetup blackAndWhite="1" fitToHeight="1" fitToWidth="1" horizontalDpi="300" verticalDpi="300" orientation="landscape" scale="72" r:id="rId3"/>
  <colBreaks count="1" manualBreakCount="1">
    <brk id="16" max="65535" man="1"/>
  </colBreaks>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B1:AN89"/>
  <sheetViews>
    <sheetView showGridLines="0" zoomScale="75" zoomScaleNormal="75" workbookViewId="0" topLeftCell="A1">
      <selection activeCell="R10" sqref="R10"/>
    </sheetView>
  </sheetViews>
  <sheetFormatPr defaultColWidth="9.140625" defaultRowHeight="12.75"/>
  <cols>
    <col min="1" max="1" width="3.57421875" style="0" customWidth="1"/>
    <col min="2" max="2" width="9.140625" style="0" hidden="1" customWidth="1"/>
    <col min="3" max="3" width="14.7109375" style="0" customWidth="1"/>
    <col min="4" max="4" width="19.57421875" style="0" customWidth="1"/>
    <col min="5" max="5" width="11.00390625" style="0" customWidth="1"/>
    <col min="11" max="11" width="10.421875" style="0" bestFit="1" customWidth="1"/>
    <col min="13" max="14" width="10.57421875" style="0" bestFit="1" customWidth="1"/>
    <col min="15" max="18" width="8.28125" style="0" customWidth="1"/>
    <col min="19" max="19" width="4.7109375" style="0" hidden="1" customWidth="1"/>
    <col min="20" max="44" width="9.140625" style="0" hidden="1" customWidth="1"/>
  </cols>
  <sheetData>
    <row r="1" spans="24:34" ht="12.75">
      <c r="X1" s="65"/>
      <c r="Y1" s="7"/>
      <c r="AA1" s="12"/>
      <c r="AB1" s="12"/>
      <c r="AF1" s="66"/>
      <c r="AG1" s="66"/>
      <c r="AH1" s="66"/>
    </row>
    <row r="2" spans="24:34" ht="12.75">
      <c r="X2" s="65"/>
      <c r="Y2" s="7"/>
      <c r="AA2" s="12"/>
      <c r="AB2" s="12"/>
      <c r="AF2" s="66"/>
      <c r="AG2" s="66"/>
      <c r="AH2" s="66"/>
    </row>
    <row r="3" spans="7:35" ht="23.25" customHeight="1">
      <c r="G3" s="573" t="s">
        <v>26</v>
      </c>
      <c r="H3" s="573"/>
      <c r="I3" s="573"/>
      <c r="J3" s="573"/>
      <c r="K3" s="573"/>
      <c r="L3" t="s">
        <v>108</v>
      </c>
      <c r="X3" s="65"/>
      <c r="Y3" s="65"/>
      <c r="Z3" s="65"/>
      <c r="AA3" s="65"/>
      <c r="AB3" s="7"/>
      <c r="AC3" s="66" t="s">
        <v>28</v>
      </c>
      <c r="AD3" s="66" t="s">
        <v>29</v>
      </c>
      <c r="AE3" s="7" t="s">
        <v>8</v>
      </c>
      <c r="AF3" s="7"/>
      <c r="AH3" s="7"/>
      <c r="AI3" s="66"/>
    </row>
    <row r="4" spans="3:35" ht="12.75">
      <c r="C4" s="178">
        <f>Notes!$A$2</f>
        <v>39548</v>
      </c>
      <c r="X4" s="65"/>
      <c r="Y4" s="65"/>
      <c r="Z4" s="65"/>
      <c r="AA4" s="65"/>
      <c r="AB4" s="7"/>
      <c r="AC4" s="66" t="s">
        <v>34</v>
      </c>
      <c r="AD4" s="66" t="s">
        <v>34</v>
      </c>
      <c r="AE4" s="7" t="s">
        <v>35</v>
      </c>
      <c r="AG4" s="7" t="s">
        <v>37</v>
      </c>
      <c r="AH4" s="7" t="s">
        <v>37</v>
      </c>
      <c r="AI4" s="66"/>
    </row>
    <row r="5" spans="4:40" ht="24.75" customHeight="1">
      <c r="D5" s="269" t="s">
        <v>0</v>
      </c>
      <c r="E5" s="559"/>
      <c r="F5" s="560"/>
      <c r="G5" s="270" t="s">
        <v>39</v>
      </c>
      <c r="H5" s="67"/>
      <c r="I5" s="470"/>
      <c r="J5" s="561"/>
      <c r="K5" s="8" t="s">
        <v>40</v>
      </c>
      <c r="L5" s="434"/>
      <c r="M5" s="523"/>
      <c r="N5" s="4" t="s">
        <v>33</v>
      </c>
      <c r="O5" s="418"/>
      <c r="P5" s="251"/>
      <c r="Q5" s="251"/>
      <c r="R5" s="251"/>
      <c r="AB5" s="7" t="s">
        <v>37</v>
      </c>
      <c r="AC5" s="66" t="s">
        <v>8</v>
      </c>
      <c r="AD5" s="66" t="s">
        <v>8</v>
      </c>
      <c r="AE5" s="7" t="s">
        <v>37</v>
      </c>
      <c r="AF5" s="7"/>
      <c r="AG5" s="7" t="s">
        <v>77</v>
      </c>
      <c r="AH5" s="7" t="s">
        <v>82</v>
      </c>
      <c r="AI5" s="7" t="s">
        <v>37</v>
      </c>
      <c r="AL5" s="85" t="s">
        <v>55</v>
      </c>
      <c r="AN5" s="1" t="s">
        <v>153</v>
      </c>
    </row>
    <row r="6" spans="4:40" ht="24.75" customHeight="1">
      <c r="D6" s="220" t="s">
        <v>2</v>
      </c>
      <c r="E6" s="434"/>
      <c r="F6" s="523"/>
      <c r="G6" s="461" t="s">
        <v>44</v>
      </c>
      <c r="H6" s="462"/>
      <c r="I6" s="528"/>
      <c r="J6" s="523"/>
      <c r="K6" s="4" t="s">
        <v>45</v>
      </c>
      <c r="L6" s="528"/>
      <c r="M6" s="529"/>
      <c r="N6" s="4" t="s">
        <v>41</v>
      </c>
      <c r="O6" s="26"/>
      <c r="P6" s="252"/>
      <c r="Q6" s="252"/>
      <c r="R6" s="252"/>
      <c r="AB6" s="7" t="s">
        <v>88</v>
      </c>
      <c r="AC6" s="12">
        <v>0</v>
      </c>
      <c r="AD6" s="12">
        <f>F8</f>
        <v>500</v>
      </c>
      <c r="AE6" s="12">
        <f>ABS(AD6-AC6)</f>
        <v>500</v>
      </c>
      <c r="AF6" s="7"/>
      <c r="AG6" s="12">
        <f>N13</f>
        <v>330.18311858177185</v>
      </c>
      <c r="AH6" s="12">
        <f>AG6+AC6</f>
        <v>330.18311858177185</v>
      </c>
      <c r="AI6" s="7" t="s">
        <v>88</v>
      </c>
      <c r="AL6" s="86" t="s">
        <v>57</v>
      </c>
      <c r="AN6" s="1" t="s">
        <v>154</v>
      </c>
    </row>
    <row r="7" spans="4:40" ht="24.75" customHeight="1">
      <c r="D7" s="542" t="s">
        <v>109</v>
      </c>
      <c r="E7" s="533"/>
      <c r="F7" s="229">
        <v>6000</v>
      </c>
      <c r="G7" s="542" t="s">
        <v>67</v>
      </c>
      <c r="H7" s="533"/>
      <c r="I7" s="4">
        <f>IF(I9&gt;0,I9,VLOOKUP(F7,U8:V16,2))</f>
        <v>6</v>
      </c>
      <c r="J7" s="4" t="s">
        <v>63</v>
      </c>
      <c r="K7" s="419"/>
      <c r="L7" s="4" t="s">
        <v>110</v>
      </c>
      <c r="M7" s="155"/>
      <c r="N7" s="4" t="s">
        <v>235</v>
      </c>
      <c r="O7" s="26"/>
      <c r="P7" s="252"/>
      <c r="Q7" s="252"/>
      <c r="R7" s="252"/>
      <c r="AB7" s="7"/>
      <c r="AC7" s="12"/>
      <c r="AD7" s="12"/>
      <c r="AE7" s="12"/>
      <c r="AI7" s="7"/>
      <c r="AL7" s="86" t="s">
        <v>59</v>
      </c>
      <c r="AN7" s="1" t="s">
        <v>155</v>
      </c>
    </row>
    <row r="8" spans="4:40" ht="24.75" customHeight="1">
      <c r="D8" s="542" t="s">
        <v>111</v>
      </c>
      <c r="E8" s="533"/>
      <c r="F8" s="69">
        <f>$F$7/$I$7/2</f>
        <v>500</v>
      </c>
      <c r="G8" s="568" t="s">
        <v>69</v>
      </c>
      <c r="H8" s="569"/>
      <c r="I8" s="69">
        <f>$F$7/$I$7</f>
        <v>1000</v>
      </c>
      <c r="J8" s="4" t="s">
        <v>5</v>
      </c>
      <c r="K8" s="26"/>
      <c r="L8" s="17" t="s">
        <v>60</v>
      </c>
      <c r="M8" s="420"/>
      <c r="N8" s="17" t="s">
        <v>53</v>
      </c>
      <c r="O8" s="421"/>
      <c r="P8" s="253"/>
      <c r="Q8" s="253"/>
      <c r="R8" s="253"/>
      <c r="U8" t="s">
        <v>8</v>
      </c>
      <c r="V8" t="s">
        <v>9</v>
      </c>
      <c r="AA8" s="7"/>
      <c r="AB8" s="7" t="s">
        <v>89</v>
      </c>
      <c r="AC8" s="12">
        <f>AD6</f>
        <v>500</v>
      </c>
      <c r="AD8" s="12">
        <f>AC8+F8</f>
        <v>1000</v>
      </c>
      <c r="AE8" s="12">
        <f>ABS(AD8-AC8)</f>
        <v>500</v>
      </c>
      <c r="AF8" s="7"/>
      <c r="AG8" s="12">
        <f>N14</f>
        <v>288.75333070755005</v>
      </c>
      <c r="AH8" s="12">
        <f>AG8+AC8</f>
        <v>788.75333070755</v>
      </c>
      <c r="AI8" s="7" t="s">
        <v>89</v>
      </c>
      <c r="AL8" s="86" t="s">
        <v>257</v>
      </c>
      <c r="AN8" s="1" t="s">
        <v>156</v>
      </c>
    </row>
    <row r="9" spans="4:40" ht="24.75" customHeight="1">
      <c r="D9" s="21"/>
      <c r="E9" s="21"/>
      <c r="F9" s="562" t="s">
        <v>275</v>
      </c>
      <c r="G9" s="563"/>
      <c r="H9" s="564"/>
      <c r="I9" s="331"/>
      <c r="J9" s="84"/>
      <c r="K9" s="252"/>
      <c r="L9" s="21"/>
      <c r="M9" s="276"/>
      <c r="N9" s="21"/>
      <c r="O9" s="253"/>
      <c r="P9" s="253"/>
      <c r="Q9" s="253"/>
      <c r="R9" s="253"/>
      <c r="AA9" s="7"/>
      <c r="AB9" s="7"/>
      <c r="AC9" s="12"/>
      <c r="AD9" s="12"/>
      <c r="AE9" s="12"/>
      <c r="AF9" s="7"/>
      <c r="AG9" s="12"/>
      <c r="AH9" s="12"/>
      <c r="AI9" s="7"/>
      <c r="AL9" s="86"/>
      <c r="AN9" s="1"/>
    </row>
    <row r="10" spans="21:40" ht="12.75">
      <c r="U10">
        <v>0.1</v>
      </c>
      <c r="V10">
        <v>0</v>
      </c>
      <c r="AA10" s="7"/>
      <c r="AB10" s="7"/>
      <c r="AC10" s="12"/>
      <c r="AD10" s="12"/>
      <c r="AE10" s="12"/>
      <c r="AI10" s="7"/>
      <c r="AL10" s="86" t="s">
        <v>64</v>
      </c>
      <c r="AN10" s="1" t="s">
        <v>157</v>
      </c>
    </row>
    <row r="11" spans="8:40" ht="12.75">
      <c r="H11" s="31"/>
      <c r="I11" s="32"/>
      <c r="J11" s="33" t="s">
        <v>75</v>
      </c>
      <c r="K11" s="33" t="s">
        <v>34</v>
      </c>
      <c r="L11" s="13" t="s">
        <v>76</v>
      </c>
      <c r="M11" s="13" t="s">
        <v>112</v>
      </c>
      <c r="N11" s="13" t="s">
        <v>37</v>
      </c>
      <c r="O11" s="13" t="s">
        <v>37</v>
      </c>
      <c r="P11" s="13" t="s">
        <v>76</v>
      </c>
      <c r="Q11" s="13" t="s">
        <v>42</v>
      </c>
      <c r="R11" s="13" t="s">
        <v>126</v>
      </c>
      <c r="S11" s="53"/>
      <c r="U11">
        <v>1</v>
      </c>
      <c r="V11">
        <v>1</v>
      </c>
      <c r="AA11" s="7"/>
      <c r="AB11" s="7" t="s">
        <v>113</v>
      </c>
      <c r="AC11" s="12">
        <f>IF($I$7&lt;2,"",AD8)</f>
        <v>1000</v>
      </c>
      <c r="AD11" s="12">
        <f>IF(AC11="","",AC11+$F$8)</f>
        <v>1500</v>
      </c>
      <c r="AE11" s="12">
        <f>IF(AC11="","",ABS(AD11-AC11))</f>
        <v>500</v>
      </c>
      <c r="AF11" s="7"/>
      <c r="AG11" s="12">
        <f>N15</f>
        <v>178.62191796302795</v>
      </c>
      <c r="AH11" s="12">
        <f>IF(AC11="","",AG11+AC11)</f>
        <v>1178.621917963028</v>
      </c>
      <c r="AI11" s="7" t="s">
        <v>113</v>
      </c>
      <c r="AL11" s="86" t="s">
        <v>258</v>
      </c>
      <c r="AN11" s="1" t="s">
        <v>158</v>
      </c>
    </row>
    <row r="12" spans="4:40" ht="18">
      <c r="D12" s="435" t="s">
        <v>114</v>
      </c>
      <c r="E12" s="436"/>
      <c r="F12" s="64"/>
      <c r="G12" s="64"/>
      <c r="H12" s="34"/>
      <c r="I12" s="204" t="s">
        <v>10</v>
      </c>
      <c r="J12" s="36"/>
      <c r="K12" s="37" t="s">
        <v>82</v>
      </c>
      <c r="L12" s="38" t="s">
        <v>83</v>
      </c>
      <c r="M12" s="38" t="s">
        <v>37</v>
      </c>
      <c r="N12" s="38" t="s">
        <v>77</v>
      </c>
      <c r="O12" s="38" t="s">
        <v>82</v>
      </c>
      <c r="P12" s="38" t="s">
        <v>83</v>
      </c>
      <c r="Q12" s="38" t="s">
        <v>85</v>
      </c>
      <c r="R12" s="38"/>
      <c r="U12">
        <v>546</v>
      </c>
      <c r="V12">
        <v>2</v>
      </c>
      <c r="AA12" s="7"/>
      <c r="AB12" s="7"/>
      <c r="AC12" s="12"/>
      <c r="AD12" s="12"/>
      <c r="AI12" s="7"/>
      <c r="AL12" s="86" t="s">
        <v>68</v>
      </c>
      <c r="AN12" s="1" t="s">
        <v>159</v>
      </c>
    </row>
    <row r="13" spans="4:40" ht="15">
      <c r="D13" s="23" t="s">
        <v>100</v>
      </c>
      <c r="E13" s="23" t="s">
        <v>34</v>
      </c>
      <c r="F13" s="53"/>
      <c r="G13" s="53"/>
      <c r="H13" s="40" t="s">
        <v>34</v>
      </c>
      <c r="I13" s="13">
        <f>H14+0.1</f>
        <v>2.1</v>
      </c>
      <c r="J13" s="156"/>
      <c r="K13" s="41"/>
      <c r="L13" s="166">
        <f>'random numbers'!B37</f>
        <v>0.6603662371635437</v>
      </c>
      <c r="M13" s="47">
        <f>$K$14/2</f>
        <v>500</v>
      </c>
      <c r="N13" s="70">
        <f>L13*M13</f>
        <v>330.18311858177185</v>
      </c>
      <c r="O13" s="71">
        <f aca="true" t="shared" si="0" ref="O13:O18">Z21</f>
        <v>330.18311858177185</v>
      </c>
      <c r="P13" s="254">
        <f>'random numbers'!B92</f>
        <v>0.596595287322998</v>
      </c>
      <c r="Q13" s="71">
        <v>12</v>
      </c>
      <c r="R13" s="121">
        <f aca="true" t="shared" si="1" ref="R13:R24">IF(M13="","",P13*Q13)</f>
        <v>7.159143447875977</v>
      </c>
      <c r="U13">
        <v>911</v>
      </c>
      <c r="V13">
        <v>3</v>
      </c>
      <c r="X13" s="44"/>
      <c r="AA13" s="7"/>
      <c r="AB13" s="7" t="s">
        <v>6</v>
      </c>
      <c r="AC13" s="12">
        <f>IF($I$7&lt;2,"",AD11)</f>
        <v>1500</v>
      </c>
      <c r="AD13" s="12">
        <f>IF(AC13="","",AC13+$F$8)</f>
        <v>2000</v>
      </c>
      <c r="AE13" s="12">
        <f>IF(AC13="","",ABS(AD13-AC13))</f>
        <v>500</v>
      </c>
      <c r="AF13" s="7"/>
      <c r="AG13" s="12">
        <f>N16</f>
        <v>376.226544380188</v>
      </c>
      <c r="AH13" s="12">
        <f>IF(AC13="","",AG13+AC13)</f>
        <v>1876.226544380188</v>
      </c>
      <c r="AI13" s="7" t="s">
        <v>6</v>
      </c>
      <c r="AL13" s="86" t="s">
        <v>260</v>
      </c>
      <c r="AN13" s="1" t="s">
        <v>160</v>
      </c>
    </row>
    <row r="14" spans="4:40" ht="15">
      <c r="D14" s="23" t="s">
        <v>101</v>
      </c>
      <c r="E14" s="23">
        <v>1</v>
      </c>
      <c r="F14" s="53"/>
      <c r="G14" s="53"/>
      <c r="H14" s="228">
        <v>2</v>
      </c>
      <c r="I14" s="23">
        <f>H14+0.2</f>
        <v>2.2</v>
      </c>
      <c r="J14" s="157"/>
      <c r="K14" s="46">
        <f>$I$8</f>
        <v>1000</v>
      </c>
      <c r="L14" s="166">
        <f>'random numbers'!B38</f>
        <v>0.5775066614151001</v>
      </c>
      <c r="M14" s="47">
        <f>$K$14/2</f>
        <v>500</v>
      </c>
      <c r="N14" s="70">
        <f>L14*M14</f>
        <v>288.75333070755005</v>
      </c>
      <c r="O14" s="72">
        <f t="shared" si="0"/>
        <v>788.75333070755</v>
      </c>
      <c r="P14" s="254">
        <f>'random numbers'!B93</f>
        <v>0.5818688273429871</v>
      </c>
      <c r="Q14" s="71">
        <v>12</v>
      </c>
      <c r="R14" s="121">
        <f t="shared" si="1"/>
        <v>6.982425928115845</v>
      </c>
      <c r="U14">
        <v>1456</v>
      </c>
      <c r="V14">
        <v>4</v>
      </c>
      <c r="X14" s="44"/>
      <c r="AA14" s="7"/>
      <c r="AB14" s="7"/>
      <c r="AC14" s="12"/>
      <c r="AD14" s="12"/>
      <c r="AI14" s="7"/>
      <c r="AL14" s="86" t="s">
        <v>73</v>
      </c>
      <c r="AN14" s="1" t="s">
        <v>161</v>
      </c>
    </row>
    <row r="15" spans="4:40" ht="15">
      <c r="D15" s="23" t="s">
        <v>102</v>
      </c>
      <c r="E15" s="23">
        <v>2</v>
      </c>
      <c r="F15" s="53"/>
      <c r="G15" s="53"/>
      <c r="H15" s="40" t="s">
        <v>34</v>
      </c>
      <c r="I15" s="48">
        <f>IF(H16=" "," ",H16+0.1)</f>
        <v>3.1</v>
      </c>
      <c r="J15" s="158"/>
      <c r="K15" s="41"/>
      <c r="L15" s="166">
        <f>'random numbers'!B39</f>
        <v>0.3572438359260559</v>
      </c>
      <c r="M15" s="47">
        <f>IF(K16="","",K16/2)</f>
        <v>500</v>
      </c>
      <c r="N15" s="70">
        <f>IF(M15="","",L15*M15)</f>
        <v>178.62191796302795</v>
      </c>
      <c r="O15" s="71">
        <f t="shared" si="0"/>
        <v>1178.621917963028</v>
      </c>
      <c r="P15" s="254">
        <f>'random numbers'!B94</f>
        <v>0.8916274309158325</v>
      </c>
      <c r="Q15" s="71">
        <v>12</v>
      </c>
      <c r="R15" s="121">
        <f t="shared" si="1"/>
        <v>10.69952917098999</v>
      </c>
      <c r="U15">
        <v>3276</v>
      </c>
      <c r="V15">
        <v>5</v>
      </c>
      <c r="X15" s="44"/>
      <c r="AB15" s="7" t="s">
        <v>91</v>
      </c>
      <c r="AC15" s="12">
        <f>IF($I$7&lt;3,"",AD13)</f>
        <v>2000</v>
      </c>
      <c r="AD15" s="12">
        <f>IF(AC15="","",AC15+$F$8)</f>
        <v>2500</v>
      </c>
      <c r="AE15" s="12">
        <f>IF(AC15="","",ABS(AD15-AC15))</f>
        <v>500</v>
      </c>
      <c r="AF15" s="7"/>
      <c r="AG15" s="12">
        <f>N17</f>
        <v>283.4126651287079</v>
      </c>
      <c r="AH15" s="12">
        <f>IF(AC15="","",AG15+AC15)</f>
        <v>2283.412665128708</v>
      </c>
      <c r="AI15" s="7" t="s">
        <v>91</v>
      </c>
      <c r="AL15" s="86" t="s">
        <v>261</v>
      </c>
      <c r="AN15" s="1" t="s">
        <v>162</v>
      </c>
    </row>
    <row r="16" spans="4:40" ht="15">
      <c r="D16" s="23" t="s">
        <v>103</v>
      </c>
      <c r="E16" s="23">
        <v>3</v>
      </c>
      <c r="F16" s="53"/>
      <c r="G16" s="53"/>
      <c r="H16" s="45">
        <f>IF($I$7&gt;B23,H14+1," ")</f>
        <v>3</v>
      </c>
      <c r="I16" s="23">
        <f>IF(H16=" "," ",H16+0.2)</f>
        <v>3.2</v>
      </c>
      <c r="J16" s="157"/>
      <c r="K16" s="50">
        <f>IF($I$7&gt;1,$I$8,"")</f>
        <v>1000</v>
      </c>
      <c r="L16" s="166">
        <f>'random numbers'!B40</f>
        <v>0.752453088760376</v>
      </c>
      <c r="M16" s="47">
        <f>IF(K16="","",K16/2)</f>
        <v>500</v>
      </c>
      <c r="N16" s="70">
        <f>IF(M15="","",L16*M16)</f>
        <v>376.226544380188</v>
      </c>
      <c r="O16" s="71">
        <f t="shared" si="0"/>
        <v>1876.226544380188</v>
      </c>
      <c r="P16" s="254">
        <f>'random numbers'!B95</f>
        <v>0.9623516201972961</v>
      </c>
      <c r="Q16" s="71">
        <v>12</v>
      </c>
      <c r="R16" s="121">
        <f t="shared" si="1"/>
        <v>11.548219442367554</v>
      </c>
      <c r="U16">
        <v>4546</v>
      </c>
      <c r="V16">
        <v>6</v>
      </c>
      <c r="X16" s="44"/>
      <c r="AB16" s="7"/>
      <c r="AC16" s="12"/>
      <c r="AD16" s="12"/>
      <c r="AI16" s="7"/>
      <c r="AL16" s="255" t="s">
        <v>259</v>
      </c>
      <c r="AN16" s="1" t="s">
        <v>163</v>
      </c>
    </row>
    <row r="17" spans="4:40" ht="15">
      <c r="D17" s="23" t="s">
        <v>104</v>
      </c>
      <c r="E17" s="23">
        <v>4</v>
      </c>
      <c r="F17" s="53"/>
      <c r="G17" s="53"/>
      <c r="H17" s="40" t="s">
        <v>34</v>
      </c>
      <c r="I17" s="48">
        <f>IF(H18=" "," ",H18+0.1)</f>
        <v>4.1</v>
      </c>
      <c r="J17" s="158"/>
      <c r="K17" s="41"/>
      <c r="L17" s="166">
        <f>'random numbers'!B41</f>
        <v>0.5668253302574158</v>
      </c>
      <c r="M17" s="47">
        <f>IF(K18="","",K18/2)</f>
        <v>500</v>
      </c>
      <c r="N17" s="70">
        <f>IF(M17="","",L17*M17)</f>
        <v>283.4126651287079</v>
      </c>
      <c r="O17" s="71">
        <f t="shared" si="0"/>
        <v>2283.412665128708</v>
      </c>
      <c r="P17" s="254">
        <f>'random numbers'!B96</f>
        <v>0.015758275985717773</v>
      </c>
      <c r="Q17" s="71">
        <v>12</v>
      </c>
      <c r="R17" s="121">
        <f t="shared" si="1"/>
        <v>0.18909931182861328</v>
      </c>
      <c r="X17" s="44"/>
      <c r="AB17" s="7" t="s">
        <v>92</v>
      </c>
      <c r="AC17" s="12">
        <f>IF($I$7&lt;3,"",AD15)</f>
        <v>2500</v>
      </c>
      <c r="AD17" s="12">
        <f>IF(AC17="","",AC17+$F$8)</f>
        <v>3000</v>
      </c>
      <c r="AE17" s="12">
        <f>IF(AC17="","",ABS(AD17-AC17))</f>
        <v>500</v>
      </c>
      <c r="AF17" s="7"/>
      <c r="AG17" s="12">
        <f>N18</f>
        <v>194.64391469955444</v>
      </c>
      <c r="AH17" s="12">
        <f>IF(AC17="","",AG17+AC17)</f>
        <v>2694.6439146995544</v>
      </c>
      <c r="AI17" s="7" t="s">
        <v>92</v>
      </c>
      <c r="AL17" s="255" t="s">
        <v>262</v>
      </c>
      <c r="AN17" s="1" t="s">
        <v>164</v>
      </c>
    </row>
    <row r="18" spans="4:40" ht="15">
      <c r="D18" s="23" t="s">
        <v>105</v>
      </c>
      <c r="E18" s="23">
        <v>5</v>
      </c>
      <c r="F18" s="53"/>
      <c r="G18" s="53"/>
      <c r="H18" s="45">
        <f>IF($I$7&gt;B26,H16+1," ")</f>
        <v>4</v>
      </c>
      <c r="I18" s="23">
        <f>IF(H18=" "," ",H18+0.2)</f>
        <v>4.2</v>
      </c>
      <c r="J18" s="157"/>
      <c r="K18" s="50">
        <f>IF($I$7&gt;2,$I$8,"")</f>
        <v>1000</v>
      </c>
      <c r="L18" s="166">
        <f>'random numbers'!B42</f>
        <v>0.3892878293991089</v>
      </c>
      <c r="M18" s="47">
        <f>IF(K18="","",K18/2)</f>
        <v>500</v>
      </c>
      <c r="N18" s="70">
        <f>IF(M17="","",L18*M18)</f>
        <v>194.64391469955444</v>
      </c>
      <c r="O18" s="71">
        <f t="shared" si="0"/>
        <v>2694.6439146995544</v>
      </c>
      <c r="P18" s="254">
        <f>'random numbers'!B97</f>
        <v>0.8555383086204529</v>
      </c>
      <c r="Q18" s="71">
        <v>12</v>
      </c>
      <c r="R18" s="121">
        <f t="shared" si="1"/>
        <v>10.266459703445435</v>
      </c>
      <c r="X18" s="44"/>
      <c r="AB18" s="7"/>
      <c r="AC18" s="12"/>
      <c r="AD18" s="12"/>
      <c r="AI18" s="7"/>
      <c r="AN18" s="1" t="s">
        <v>165</v>
      </c>
    </row>
    <row r="19" spans="4:40" ht="15">
      <c r="D19" s="23" t="s">
        <v>106</v>
      </c>
      <c r="E19" s="23">
        <v>6</v>
      </c>
      <c r="F19" s="53"/>
      <c r="G19" s="53"/>
      <c r="H19" s="40" t="s">
        <v>34</v>
      </c>
      <c r="I19" s="48">
        <f>IF(H20=" "," ",H20+0.1)</f>
        <v>5.1</v>
      </c>
      <c r="J19" s="158"/>
      <c r="K19" s="41"/>
      <c r="L19" s="166">
        <f>'random numbers'!B43</f>
        <v>0.656321108341217</v>
      </c>
      <c r="M19" s="47">
        <f>IF(K20="","",K20/2)</f>
        <v>500</v>
      </c>
      <c r="N19" s="70">
        <f>IF(M19="","",L19*M19)</f>
        <v>328.1605541706085</v>
      </c>
      <c r="O19" s="71">
        <f aca="true" t="shared" si="2" ref="O19:O24">Z29</f>
        <v>3328.1605541706085</v>
      </c>
      <c r="P19" s="254">
        <f>'random numbers'!B98</f>
        <v>0.33619821071624756</v>
      </c>
      <c r="Q19" s="71">
        <v>12</v>
      </c>
      <c r="R19" s="121">
        <f t="shared" si="1"/>
        <v>4.034378528594971</v>
      </c>
      <c r="X19" s="44"/>
      <c r="AB19" s="7" t="s">
        <v>93</v>
      </c>
      <c r="AC19" s="12">
        <f>IF($I$7&lt;4,"",AD17)</f>
        <v>3000</v>
      </c>
      <c r="AD19" s="12">
        <f>IF(AC19="","",AC19+$F$8)</f>
        <v>3500</v>
      </c>
      <c r="AE19" s="12">
        <f>IF(AC19="","",ABS(AD19-AC19))</f>
        <v>500</v>
      </c>
      <c r="AF19" s="7"/>
      <c r="AG19" s="12">
        <f>N19</f>
        <v>328.1605541706085</v>
      </c>
      <c r="AH19" s="12">
        <f>IF(AC19="","",AG19+AC19)</f>
        <v>3328.1605541706085</v>
      </c>
      <c r="AI19" s="7" t="s">
        <v>93</v>
      </c>
      <c r="AN19" s="1" t="s">
        <v>166</v>
      </c>
    </row>
    <row r="20" spans="4:40" ht="15">
      <c r="D20" s="63" t="s">
        <v>122</v>
      </c>
      <c r="H20" s="45">
        <f>IF($I$7&gt;B31,H18+1," ")</f>
        <v>5</v>
      </c>
      <c r="I20" s="23">
        <f>IF(H20=" "," ",H20+0.2)</f>
        <v>5.2</v>
      </c>
      <c r="J20" s="157"/>
      <c r="K20" s="50">
        <f>IF($I$7&gt;3,$I$8,"")</f>
        <v>1000</v>
      </c>
      <c r="L20" s="166">
        <f>'random numbers'!B44</f>
        <v>0.8552212715148926</v>
      </c>
      <c r="M20" s="47">
        <f>IF(K20="","",K20/2)</f>
        <v>500</v>
      </c>
      <c r="N20" s="70">
        <f>IF(M19="","",L20*M20)</f>
        <v>427.6106357574463</v>
      </c>
      <c r="O20" s="72">
        <f t="shared" si="2"/>
        <v>3927.6106357574463</v>
      </c>
      <c r="P20" s="254">
        <f>'random numbers'!B99</f>
        <v>0.628639280796051</v>
      </c>
      <c r="Q20" s="71">
        <v>12</v>
      </c>
      <c r="R20" s="121">
        <f t="shared" si="1"/>
        <v>7.543671369552612</v>
      </c>
      <c r="X20" s="44"/>
      <c r="Y20" s="7" t="s">
        <v>37</v>
      </c>
      <c r="Z20" s="7" t="s">
        <v>82</v>
      </c>
      <c r="AA20" s="20"/>
      <c r="AB20" s="7"/>
      <c r="AD20" s="12"/>
      <c r="AI20" s="7"/>
      <c r="AN20" s="1" t="s">
        <v>167</v>
      </c>
    </row>
    <row r="21" spans="2:40" ht="15">
      <c r="B21" s="39" t="s">
        <v>87</v>
      </c>
      <c r="D21" s="63" t="s">
        <v>123</v>
      </c>
      <c r="E21" s="39"/>
      <c r="F21" s="39"/>
      <c r="G21" s="39"/>
      <c r="H21" s="40" t="s">
        <v>34</v>
      </c>
      <c r="I21" s="48">
        <f>IF(H22=" "," ",H22+0.1)</f>
        <v>6.1</v>
      </c>
      <c r="J21" s="158"/>
      <c r="K21" s="41"/>
      <c r="L21" s="166">
        <f>'random numbers'!B45</f>
        <v>0.5241000056266785</v>
      </c>
      <c r="M21" s="47">
        <f>IF(K22="","",K22/2)</f>
        <v>500</v>
      </c>
      <c r="N21" s="70">
        <f>IF(M21="","",L21*M21)</f>
        <v>262.05000281333923</v>
      </c>
      <c r="O21" s="71">
        <f t="shared" si="2"/>
        <v>4262.050002813339</v>
      </c>
      <c r="P21" s="254">
        <f>'random numbers'!B100</f>
        <v>0.4857368469238281</v>
      </c>
      <c r="Q21" s="71">
        <v>12</v>
      </c>
      <c r="R21" s="121">
        <f t="shared" si="1"/>
        <v>5.8288421630859375</v>
      </c>
      <c r="X21" s="44"/>
      <c r="Y21" s="7" t="s">
        <v>88</v>
      </c>
      <c r="Z21" s="66">
        <f>AH6</f>
        <v>330.18311858177185</v>
      </c>
      <c r="AA21" s="73"/>
      <c r="AB21" s="7" t="s">
        <v>94</v>
      </c>
      <c r="AC21" s="12">
        <f>IF($I$7&lt;4,"",AD19)</f>
        <v>3500</v>
      </c>
      <c r="AD21" s="12">
        <f>IF(AC21="","",AC21+$F$8)</f>
        <v>4000</v>
      </c>
      <c r="AE21" s="12">
        <f>IF(AC21="","",ABS(AD21-AC21))</f>
        <v>500</v>
      </c>
      <c r="AG21" s="12">
        <f>N20</f>
        <v>427.6106357574463</v>
      </c>
      <c r="AH21" s="12">
        <f>IF(AC21="","",AG21+AC21)</f>
        <v>3927.6106357574463</v>
      </c>
      <c r="AI21" s="7" t="s">
        <v>94</v>
      </c>
      <c r="AN21" s="1" t="s">
        <v>168</v>
      </c>
    </row>
    <row r="22" spans="2:40" ht="15">
      <c r="B22" s="39">
        <v>1</v>
      </c>
      <c r="C22" s="257" t="s">
        <v>98</v>
      </c>
      <c r="D22" s="258"/>
      <c r="E22" s="258"/>
      <c r="F22" s="259"/>
      <c r="G22" s="39"/>
      <c r="H22" s="45">
        <f>IF($I$7&gt;B34,H20+1," ")</f>
        <v>6</v>
      </c>
      <c r="I22" s="23">
        <f>IF(H22=" "," ",H22+0.2)</f>
        <v>6.2</v>
      </c>
      <c r="J22" s="157"/>
      <c r="K22" s="50">
        <f>IF($I$7&gt;4,$I$8,"")</f>
        <v>1000</v>
      </c>
      <c r="L22" s="166">
        <f>'random numbers'!B46</f>
        <v>0.5174638032913208</v>
      </c>
      <c r="M22" s="47">
        <f>IF(K22="","",K22/2)</f>
        <v>500</v>
      </c>
      <c r="N22" s="70">
        <f>IF(M21="","",L22*M22)</f>
        <v>258.7319016456604</v>
      </c>
      <c r="O22" s="71">
        <f t="shared" si="2"/>
        <v>4758.73190164566</v>
      </c>
      <c r="P22" s="254">
        <f>'random numbers'!B101</f>
        <v>0.18002337217330933</v>
      </c>
      <c r="Q22" s="71">
        <v>12</v>
      </c>
      <c r="R22" s="121">
        <f t="shared" si="1"/>
        <v>2.160280466079712</v>
      </c>
      <c r="X22" s="44"/>
      <c r="Y22" s="7" t="s">
        <v>89</v>
      </c>
      <c r="Z22" s="66">
        <f>AH8</f>
        <v>788.75333070755</v>
      </c>
      <c r="AA22" s="73"/>
      <c r="AB22" s="7"/>
      <c r="AC22" s="12"/>
      <c r="AD22" s="12"/>
      <c r="AI22" s="7"/>
      <c r="AN22" s="1" t="s">
        <v>169</v>
      </c>
    </row>
    <row r="23" spans="2:40" ht="15">
      <c r="B23" s="39">
        <f>B22</f>
        <v>1</v>
      </c>
      <c r="C23" s="511"/>
      <c r="D23" s="554"/>
      <c r="E23" s="554"/>
      <c r="F23" s="555"/>
      <c r="G23" s="39"/>
      <c r="H23" s="40" t="s">
        <v>34</v>
      </c>
      <c r="I23" s="48">
        <f>IF(H24=" "," ",H24+0.1)</f>
        <v>7.1</v>
      </c>
      <c r="J23" s="158"/>
      <c r="K23" s="41"/>
      <c r="L23" s="166">
        <f>'random numbers'!B47</f>
        <v>0.2717931866645813</v>
      </c>
      <c r="M23" s="47">
        <f>IF(K24="","",K24/2)</f>
        <v>500</v>
      </c>
      <c r="N23" s="70">
        <f>IF(M23="","",L23*M23)</f>
        <v>135.89659333229065</v>
      </c>
      <c r="O23" s="71">
        <f t="shared" si="2"/>
        <v>5135.896593332291</v>
      </c>
      <c r="P23" s="254">
        <f>'random numbers'!B102</f>
        <v>0.8315845727920532</v>
      </c>
      <c r="Q23" s="71">
        <v>12</v>
      </c>
      <c r="R23" s="121">
        <f t="shared" si="1"/>
        <v>9.979014873504639</v>
      </c>
      <c r="X23" s="44"/>
      <c r="Y23" s="7" t="s">
        <v>90</v>
      </c>
      <c r="Z23" s="66">
        <f>AH11</f>
        <v>1178.621917963028</v>
      </c>
      <c r="AA23" s="73"/>
      <c r="AB23" s="7" t="s">
        <v>7</v>
      </c>
      <c r="AC23" s="12">
        <f>IF($I$7&lt;5,"",AD21)</f>
        <v>4000</v>
      </c>
      <c r="AD23" s="12">
        <f>IF(AC23="","",AC23+$F$8)</f>
        <v>4500</v>
      </c>
      <c r="AE23" s="12">
        <f>IF(AC23="","",ABS(AD23-AC23))</f>
        <v>500</v>
      </c>
      <c r="AG23" s="12">
        <f>N21</f>
        <v>262.05000281333923</v>
      </c>
      <c r="AH23" s="12">
        <f>IF(AC23="","",AG23+AC23)</f>
        <v>4262.050002813339</v>
      </c>
      <c r="AI23" s="7" t="s">
        <v>7</v>
      </c>
      <c r="AN23" s="1" t="s">
        <v>170</v>
      </c>
    </row>
    <row r="24" spans="3:40" ht="15">
      <c r="C24" s="511"/>
      <c r="D24" s="554"/>
      <c r="E24" s="554"/>
      <c r="F24" s="555"/>
      <c r="H24" s="45">
        <f>IF($I$7&gt;B37,H22+1," ")</f>
        <v>7</v>
      </c>
      <c r="I24" s="23">
        <f>IF(H24=" "," ",H24+0.2)</f>
        <v>7.2</v>
      </c>
      <c r="J24" s="157"/>
      <c r="K24" s="50">
        <f>IF($I$7&gt;5,$I$8,"")</f>
        <v>1000</v>
      </c>
      <c r="L24" s="166">
        <f>'random numbers'!B48</f>
        <v>0.008805036544799805</v>
      </c>
      <c r="M24" s="47">
        <f>IF(K24="","",K24/2)</f>
        <v>500</v>
      </c>
      <c r="N24" s="74">
        <f>IF(M23="","",L24*M24)</f>
        <v>4.402518272399902</v>
      </c>
      <c r="O24" s="75">
        <f t="shared" si="2"/>
        <v>5504.4025182724</v>
      </c>
      <c r="P24" s="254">
        <f>'random numbers'!B103</f>
        <v>0.8769009709358215</v>
      </c>
      <c r="Q24" s="71">
        <v>12</v>
      </c>
      <c r="R24" s="121">
        <f t="shared" si="1"/>
        <v>10.522811651229858</v>
      </c>
      <c r="X24" s="44"/>
      <c r="Y24" s="7" t="s">
        <v>6</v>
      </c>
      <c r="Z24" s="66">
        <f>AH13</f>
        <v>1876.226544380188</v>
      </c>
      <c r="AA24" s="73"/>
      <c r="AB24" s="7" t="s">
        <v>124</v>
      </c>
      <c r="AC24" s="12"/>
      <c r="AD24" s="12"/>
      <c r="AI24" s="7" t="s">
        <v>124</v>
      </c>
      <c r="AN24" s="1" t="s">
        <v>171</v>
      </c>
    </row>
    <row r="25" spans="2:40" ht="15">
      <c r="B25" s="39">
        <f>IF($G$7&gt;B23,B23+1," ")</f>
        <v>2</v>
      </c>
      <c r="C25" s="556"/>
      <c r="D25" s="557"/>
      <c r="E25" s="557"/>
      <c r="F25" s="558"/>
      <c r="H25" s="52"/>
      <c r="I25" s="53"/>
      <c r="J25" s="54"/>
      <c r="K25" s="56"/>
      <c r="L25" s="55"/>
      <c r="M25" s="56"/>
      <c r="N25" s="76"/>
      <c r="O25" s="77"/>
      <c r="P25" s="77"/>
      <c r="Q25" s="77"/>
      <c r="R25" s="77"/>
      <c r="Y25" s="7" t="s">
        <v>91</v>
      </c>
      <c r="Z25" s="66">
        <f>AH15</f>
        <v>2283.412665128708</v>
      </c>
      <c r="AA25" s="73"/>
      <c r="AB25" s="7" t="s">
        <v>95</v>
      </c>
      <c r="AC25" s="12">
        <f>IF($I$7&lt;5,"",AD23)</f>
        <v>4500</v>
      </c>
      <c r="AD25" s="12">
        <f>IF(AC25="","",AC25+$F$8)</f>
        <v>5000</v>
      </c>
      <c r="AE25" s="12">
        <f>IF(AC25="","",ABS(AD25-AC25))</f>
        <v>500</v>
      </c>
      <c r="AG25" s="12">
        <f>N22</f>
        <v>258.7319016456604</v>
      </c>
      <c r="AH25" s="12">
        <f>IF(AC25="","",AG25+AC25)</f>
        <v>4758.73190164566</v>
      </c>
      <c r="AI25" s="7" t="s">
        <v>95</v>
      </c>
      <c r="AN25" s="1" t="s">
        <v>172</v>
      </c>
    </row>
    <row r="26" spans="2:40" ht="30" customHeight="1" thickBot="1">
      <c r="B26" s="39">
        <f>B25</f>
        <v>2</v>
      </c>
      <c r="C26" s="570" t="s">
        <v>152</v>
      </c>
      <c r="D26" s="570"/>
      <c r="E26" s="570"/>
      <c r="F26" s="571"/>
      <c r="G26" s="571"/>
      <c r="H26" s="571"/>
      <c r="I26" s="571"/>
      <c r="J26" s="570" t="s">
        <v>32</v>
      </c>
      <c r="K26" s="570"/>
      <c r="L26" s="576"/>
      <c r="M26" s="576"/>
      <c r="N26" s="576"/>
      <c r="O26" s="576"/>
      <c r="P26" s="246"/>
      <c r="Q26" s="246"/>
      <c r="R26" s="246"/>
      <c r="Y26" s="7" t="s">
        <v>92</v>
      </c>
      <c r="Z26" s="66">
        <f>AH17</f>
        <v>2694.6439146995544</v>
      </c>
      <c r="AA26" s="73"/>
      <c r="AB26" s="7"/>
      <c r="AC26" s="12"/>
      <c r="AD26" s="12"/>
      <c r="AI26" s="7"/>
      <c r="AN26" s="1" t="s">
        <v>173</v>
      </c>
    </row>
    <row r="27" spans="2:40" ht="30" customHeight="1">
      <c r="B27" s="39"/>
      <c r="C27" s="241"/>
      <c r="D27" s="241"/>
      <c r="E27" s="241"/>
      <c r="F27" s="245"/>
      <c r="G27" s="245"/>
      <c r="H27" s="245"/>
      <c r="I27" s="245"/>
      <c r="J27" s="241"/>
      <c r="K27" s="241"/>
      <c r="L27" s="246"/>
      <c r="M27" s="246"/>
      <c r="N27" s="246"/>
      <c r="O27" s="246"/>
      <c r="P27" s="246"/>
      <c r="Q27" s="246"/>
      <c r="R27" s="246"/>
      <c r="Y27" s="7"/>
      <c r="Z27" s="66"/>
      <c r="AA27" s="73"/>
      <c r="AB27" s="7"/>
      <c r="AC27" s="12"/>
      <c r="AD27" s="12"/>
      <c r="AI27" s="7"/>
      <c r="AN27" s="1"/>
    </row>
    <row r="28" spans="2:40" ht="30" customHeight="1">
      <c r="B28" s="39"/>
      <c r="C28" s="241"/>
      <c r="D28" s="241"/>
      <c r="E28" s="241"/>
      <c r="F28" s="245"/>
      <c r="G28" s="245"/>
      <c r="H28" s="245"/>
      <c r="I28" s="245"/>
      <c r="J28" s="241"/>
      <c r="K28" s="241"/>
      <c r="L28" s="246"/>
      <c r="M28" s="246"/>
      <c r="N28" s="246"/>
      <c r="O28" s="246"/>
      <c r="P28" s="246"/>
      <c r="Q28" s="246"/>
      <c r="R28" s="246"/>
      <c r="Y28" s="7"/>
      <c r="Z28" s="66"/>
      <c r="AA28" s="73"/>
      <c r="AB28" s="7"/>
      <c r="AC28" s="12"/>
      <c r="AD28" s="12"/>
      <c r="AI28" s="7"/>
      <c r="AN28" s="1"/>
    </row>
    <row r="29" spans="3:40" ht="20.25">
      <c r="C29" s="247" t="s">
        <v>37</v>
      </c>
      <c r="D29" s="247" t="s">
        <v>125</v>
      </c>
      <c r="E29" s="248"/>
      <c r="F29" s="567" t="s">
        <v>32</v>
      </c>
      <c r="G29" s="567"/>
      <c r="H29" s="248"/>
      <c r="I29" s="248"/>
      <c r="J29" s="248"/>
      <c r="K29" s="247" t="s">
        <v>126</v>
      </c>
      <c r="L29" s="248"/>
      <c r="M29" s="248"/>
      <c r="N29" s="249"/>
      <c r="O29" s="247" t="s">
        <v>127</v>
      </c>
      <c r="P29" s="247"/>
      <c r="Q29" s="247"/>
      <c r="R29" s="247"/>
      <c r="S29" s="247"/>
      <c r="T29" s="78"/>
      <c r="Y29" s="7" t="s">
        <v>93</v>
      </c>
      <c r="Z29" s="66">
        <f>AH19</f>
        <v>3328.1605541706085</v>
      </c>
      <c r="AA29" s="73"/>
      <c r="AB29" s="7" t="s">
        <v>96</v>
      </c>
      <c r="AC29" s="12">
        <f>IF($I$7&lt;6,"",AD25)</f>
        <v>5000</v>
      </c>
      <c r="AD29" s="12">
        <f>IF(AC29="","",AC29+$F$8)</f>
        <v>5500</v>
      </c>
      <c r="AE29" s="12">
        <f>IF(AC29="","",ABS(AD29-AC29))</f>
        <v>500</v>
      </c>
      <c r="AG29" s="12">
        <f>N23</f>
        <v>135.89659333229065</v>
      </c>
      <c r="AH29" s="12">
        <f>IF(AC29="","",AG29+AC29)</f>
        <v>5135.896593332291</v>
      </c>
      <c r="AI29" s="7" t="s">
        <v>96</v>
      </c>
      <c r="AN29" s="1" t="s">
        <v>174</v>
      </c>
    </row>
    <row r="30" spans="2:40" ht="12.75" hidden="1">
      <c r="B30" s="39">
        <f>IF($G$7&gt;B26,B26+1," ")</f>
        <v>3</v>
      </c>
      <c r="D30" s="7"/>
      <c r="N30" s="7"/>
      <c r="Y30" s="7" t="s">
        <v>94</v>
      </c>
      <c r="Z30" s="66">
        <f>AH21</f>
        <v>3927.6106357574463</v>
      </c>
      <c r="AA30" s="73"/>
      <c r="AB30" s="7"/>
      <c r="AC30" s="12"/>
      <c r="AD30" s="12"/>
      <c r="AI30" s="7"/>
      <c r="AN30" s="1" t="s">
        <v>175</v>
      </c>
    </row>
    <row r="31" spans="2:40" ht="45" customHeight="1">
      <c r="B31" s="39">
        <f>B30</f>
        <v>3</v>
      </c>
      <c r="C31" s="79">
        <f aca="true" t="shared" si="3" ref="C31:C42">I13</f>
        <v>2.1</v>
      </c>
      <c r="D31" s="80">
        <f aca="true" t="shared" si="4" ref="D31:D42">O13</f>
        <v>330.18311858177185</v>
      </c>
      <c r="F31" s="565"/>
      <c r="G31" s="565"/>
      <c r="H31" s="565"/>
      <c r="I31" s="565"/>
      <c r="K31" s="577"/>
      <c r="L31" s="577"/>
      <c r="M31" s="577"/>
      <c r="N31" s="7"/>
      <c r="O31" s="169"/>
      <c r="P31" s="250"/>
      <c r="Q31" s="250"/>
      <c r="R31" s="250"/>
      <c r="S31" s="81"/>
      <c r="Y31" s="7" t="s">
        <v>7</v>
      </c>
      <c r="Z31" s="66">
        <f>AH23</f>
        <v>4262.050002813339</v>
      </c>
      <c r="AA31" s="73"/>
      <c r="AB31" s="7" t="s">
        <v>97</v>
      </c>
      <c r="AC31" s="12">
        <f>IF($I$7&lt;6,"",AD29)</f>
        <v>5500</v>
      </c>
      <c r="AD31" s="12">
        <f>IF(AC31="","",AC31+$F$8)</f>
        <v>6000</v>
      </c>
      <c r="AE31" s="12">
        <f>IF(AC31="","",ABS(AD31-AC31))</f>
        <v>500</v>
      </c>
      <c r="AG31" s="12">
        <f>N24</f>
        <v>4.402518272399902</v>
      </c>
      <c r="AH31" s="12">
        <f>IF(AC31="","",AG31+AC31)</f>
        <v>5504.4025182724</v>
      </c>
      <c r="AI31" s="7" t="s">
        <v>97</v>
      </c>
      <c r="AN31" s="1"/>
    </row>
    <row r="32" spans="3:40" ht="45" customHeight="1">
      <c r="C32" s="79">
        <f t="shared" si="3"/>
        <v>2.2</v>
      </c>
      <c r="D32" s="80">
        <f t="shared" si="4"/>
        <v>788.75333070755</v>
      </c>
      <c r="F32" s="566"/>
      <c r="G32" s="566"/>
      <c r="H32" s="566"/>
      <c r="I32" s="566"/>
      <c r="K32" s="572"/>
      <c r="L32" s="572"/>
      <c r="M32" s="572"/>
      <c r="O32" s="170"/>
      <c r="P32" s="250"/>
      <c r="Q32" s="250"/>
      <c r="R32" s="250"/>
      <c r="S32" s="81"/>
      <c r="Y32" s="7" t="s">
        <v>95</v>
      </c>
      <c r="Z32" s="66">
        <f>AH25</f>
        <v>4758.73190164566</v>
      </c>
      <c r="AA32" s="73"/>
      <c r="AC32" s="12"/>
      <c r="AD32" s="12"/>
      <c r="AI32" s="12"/>
      <c r="AN32" s="1" t="s">
        <v>176</v>
      </c>
    </row>
    <row r="33" spans="2:40" ht="45" customHeight="1">
      <c r="B33" s="39">
        <f>IF($G$7&gt;B31,B31+1," ")</f>
        <v>4</v>
      </c>
      <c r="C33" s="79">
        <f t="shared" si="3"/>
        <v>3.1</v>
      </c>
      <c r="D33" s="80">
        <f t="shared" si="4"/>
        <v>1178.621917963028</v>
      </c>
      <c r="F33" s="566"/>
      <c r="G33" s="566"/>
      <c r="H33" s="566"/>
      <c r="I33" s="566"/>
      <c r="K33" s="572"/>
      <c r="L33" s="572"/>
      <c r="M33" s="572"/>
      <c r="O33" s="170"/>
      <c r="P33" s="250"/>
      <c r="Q33" s="250"/>
      <c r="R33" s="250"/>
      <c r="S33" s="81"/>
      <c r="Y33" s="7" t="s">
        <v>96</v>
      </c>
      <c r="Z33" s="66">
        <f>AH29</f>
        <v>5135.896593332291</v>
      </c>
      <c r="AA33" s="73"/>
      <c r="AD33" s="12"/>
      <c r="AE33" s="12"/>
      <c r="AG33" s="12"/>
      <c r="AN33" s="1" t="s">
        <v>177</v>
      </c>
    </row>
    <row r="34" spans="2:40" ht="45" customHeight="1">
      <c r="B34" s="39">
        <f>B33</f>
        <v>4</v>
      </c>
      <c r="C34" s="79">
        <f t="shared" si="3"/>
        <v>3.2</v>
      </c>
      <c r="D34" s="80">
        <f t="shared" si="4"/>
        <v>1876.226544380188</v>
      </c>
      <c r="F34" s="566"/>
      <c r="G34" s="566"/>
      <c r="H34" s="566"/>
      <c r="I34" s="566"/>
      <c r="K34" s="572"/>
      <c r="L34" s="572"/>
      <c r="M34" s="572"/>
      <c r="O34" s="169"/>
      <c r="P34" s="250"/>
      <c r="Q34" s="250"/>
      <c r="R34" s="250"/>
      <c r="S34" s="81"/>
      <c r="Y34" s="7" t="s">
        <v>97</v>
      </c>
      <c r="Z34" s="66">
        <f>AH31</f>
        <v>5504.4025182724</v>
      </c>
      <c r="AA34" s="73"/>
      <c r="AD34" s="12"/>
      <c r="AE34" s="12"/>
      <c r="AN34" s="1" t="s">
        <v>178</v>
      </c>
    </row>
    <row r="35" spans="3:40" ht="45" customHeight="1">
      <c r="C35" s="79">
        <f t="shared" si="3"/>
        <v>4.1</v>
      </c>
      <c r="D35" s="80">
        <f t="shared" si="4"/>
        <v>2283.412665128708</v>
      </c>
      <c r="F35" s="566"/>
      <c r="G35" s="566"/>
      <c r="H35" s="566"/>
      <c r="I35" s="566"/>
      <c r="K35" s="572"/>
      <c r="L35" s="572"/>
      <c r="M35" s="572"/>
      <c r="O35" s="170"/>
      <c r="P35" s="250"/>
      <c r="Q35" s="250"/>
      <c r="R35" s="250"/>
      <c r="S35" s="81"/>
      <c r="W35" s="7"/>
      <c r="X35" s="7">
        <f>IF(I7&lt;7,"",VLOOKUP(10000000,$AG$36:$AH$41,2))</f>
      </c>
      <c r="Y35" s="65">
        <f>IF(X35="","",VLOOKUP(X35,$AF$19:$AI$19,4))</f>
      </c>
      <c r="AB35" s="12"/>
      <c r="AC35" s="12"/>
      <c r="AG35" s="12"/>
      <c r="AH35" s="12"/>
      <c r="AN35" s="1" t="s">
        <v>179</v>
      </c>
    </row>
    <row r="36" spans="2:40" ht="45" customHeight="1">
      <c r="B36" s="39">
        <f>IF($G$7&gt;B34,B34+1," ")</f>
        <v>5</v>
      </c>
      <c r="C36" s="79">
        <f t="shared" si="3"/>
        <v>4.2</v>
      </c>
      <c r="D36" s="80">
        <f t="shared" si="4"/>
        <v>2694.6439146995544</v>
      </c>
      <c r="F36" s="566"/>
      <c r="G36" s="566"/>
      <c r="H36" s="566"/>
      <c r="I36" s="566"/>
      <c r="K36" s="572"/>
      <c r="L36" s="572"/>
      <c r="M36" s="572"/>
      <c r="O36" s="170"/>
      <c r="P36" s="250"/>
      <c r="Q36" s="250"/>
      <c r="R36" s="250"/>
      <c r="S36" s="81"/>
      <c r="W36" s="7"/>
      <c r="X36" s="7">
        <f>IF(I7&lt;7,"",VLOOKUP(10000000,$AK$51:$AL$56,2))</f>
      </c>
      <c r="Y36" s="73">
        <f>IF(X36="","",VLOOKUP(X36,$AH$51:$AK$56,4))</f>
      </c>
      <c r="AB36" s="12"/>
      <c r="AC36" s="12"/>
      <c r="AH36" s="12"/>
      <c r="AI36" s="7"/>
      <c r="AN36" s="1" t="s">
        <v>180</v>
      </c>
    </row>
    <row r="37" spans="2:40" ht="45" customHeight="1">
      <c r="B37" s="39">
        <f>B36</f>
        <v>5</v>
      </c>
      <c r="C37" s="79">
        <f t="shared" si="3"/>
        <v>5.1</v>
      </c>
      <c r="D37" s="80">
        <f t="shared" si="4"/>
        <v>3328.1605541706085</v>
      </c>
      <c r="F37" s="566"/>
      <c r="G37" s="566"/>
      <c r="H37" s="566"/>
      <c r="I37" s="566"/>
      <c r="K37" s="572"/>
      <c r="L37" s="572"/>
      <c r="M37" s="572"/>
      <c r="O37" s="170"/>
      <c r="P37" s="250"/>
      <c r="Q37" s="250"/>
      <c r="R37" s="250"/>
      <c r="S37" s="81"/>
      <c r="W37" s="7"/>
      <c r="X37" s="65"/>
      <c r="AA37" s="12"/>
      <c r="AB37" s="12"/>
      <c r="AG37" s="12"/>
      <c r="AH37" s="7"/>
      <c r="AN37" s="1" t="s">
        <v>181</v>
      </c>
    </row>
    <row r="38" spans="2:40" ht="45" customHeight="1">
      <c r="B38" s="62"/>
      <c r="C38" s="79">
        <f t="shared" si="3"/>
        <v>5.2</v>
      </c>
      <c r="D38" s="80">
        <f t="shared" si="4"/>
        <v>3927.6106357574463</v>
      </c>
      <c r="F38" s="566"/>
      <c r="G38" s="566"/>
      <c r="H38" s="566"/>
      <c r="I38" s="566"/>
      <c r="K38" s="572"/>
      <c r="L38" s="572"/>
      <c r="M38" s="572"/>
      <c r="O38" s="170"/>
      <c r="P38" s="250"/>
      <c r="Q38" s="250"/>
      <c r="R38" s="250"/>
      <c r="S38" s="81"/>
      <c r="X38" s="65"/>
      <c r="AA38" s="12"/>
      <c r="AB38" s="12"/>
      <c r="AG38" s="12"/>
      <c r="AH38" s="7"/>
      <c r="AI38" s="12"/>
      <c r="AN38" s="1" t="s">
        <v>182</v>
      </c>
    </row>
    <row r="39" spans="2:40" ht="45" customHeight="1">
      <c r="B39" s="39">
        <f>IF($G$7&gt;B37,B37+1,"")</f>
        <v>6</v>
      </c>
      <c r="C39" s="79">
        <f t="shared" si="3"/>
        <v>6.1</v>
      </c>
      <c r="D39" s="80">
        <f t="shared" si="4"/>
        <v>4262.050002813339</v>
      </c>
      <c r="F39" s="566"/>
      <c r="G39" s="566"/>
      <c r="H39" s="566"/>
      <c r="I39" s="566"/>
      <c r="K39" s="572"/>
      <c r="L39" s="572"/>
      <c r="M39" s="572"/>
      <c r="O39" s="170"/>
      <c r="P39" s="250"/>
      <c r="Q39" s="250"/>
      <c r="R39" s="250"/>
      <c r="S39" s="81"/>
      <c r="X39" s="65"/>
      <c r="AA39" s="12"/>
      <c r="AB39" s="12"/>
      <c r="AG39" s="12"/>
      <c r="AH39" s="7"/>
      <c r="AI39" s="12"/>
      <c r="AN39" s="1" t="s">
        <v>183</v>
      </c>
    </row>
    <row r="40" spans="2:40" ht="45" customHeight="1">
      <c r="B40" s="39">
        <f>B39</f>
        <v>6</v>
      </c>
      <c r="C40" s="79">
        <f t="shared" si="3"/>
        <v>6.2</v>
      </c>
      <c r="D40" s="80">
        <f t="shared" si="4"/>
        <v>4758.73190164566</v>
      </c>
      <c r="F40" s="566"/>
      <c r="G40" s="566"/>
      <c r="H40" s="566"/>
      <c r="I40" s="566"/>
      <c r="K40" s="572"/>
      <c r="L40" s="572"/>
      <c r="M40" s="572"/>
      <c r="O40" s="170"/>
      <c r="P40" s="250"/>
      <c r="Q40" s="250"/>
      <c r="R40" s="250"/>
      <c r="S40" s="81"/>
      <c r="X40" s="65"/>
      <c r="AA40" s="12"/>
      <c r="AB40" s="12"/>
      <c r="AG40" s="12"/>
      <c r="AH40" s="7"/>
      <c r="AI40" s="12"/>
      <c r="AN40" s="1" t="s">
        <v>184</v>
      </c>
    </row>
    <row r="41" spans="3:40" ht="45" customHeight="1">
      <c r="C41" s="79">
        <f t="shared" si="3"/>
        <v>7.1</v>
      </c>
      <c r="D41" s="80">
        <f t="shared" si="4"/>
        <v>5135.896593332291</v>
      </c>
      <c r="F41" s="566"/>
      <c r="G41" s="566"/>
      <c r="H41" s="566"/>
      <c r="I41" s="566"/>
      <c r="K41" s="572"/>
      <c r="L41" s="572"/>
      <c r="M41" s="572"/>
      <c r="O41" s="170"/>
      <c r="P41" s="250"/>
      <c r="Q41" s="250"/>
      <c r="R41" s="250"/>
      <c r="S41" s="81"/>
      <c r="X41" s="65"/>
      <c r="AA41" s="12"/>
      <c r="AB41" s="12"/>
      <c r="AG41" s="12"/>
      <c r="AH41" s="7"/>
      <c r="AI41" s="12"/>
      <c r="AN41" s="1" t="s">
        <v>185</v>
      </c>
    </row>
    <row r="42" spans="2:40" ht="45" customHeight="1">
      <c r="B42" s="39">
        <f>IF($G$7&gt;B40,B40+1," ")</f>
        <v>7</v>
      </c>
      <c r="C42" s="79">
        <f t="shared" si="3"/>
        <v>7.2</v>
      </c>
      <c r="D42" s="80">
        <f t="shared" si="4"/>
        <v>5504.4025182724</v>
      </c>
      <c r="F42" s="566"/>
      <c r="G42" s="566"/>
      <c r="H42" s="566"/>
      <c r="I42" s="566"/>
      <c r="K42" s="572"/>
      <c r="L42" s="572"/>
      <c r="M42" s="572"/>
      <c r="O42" s="170"/>
      <c r="P42" s="250"/>
      <c r="Q42" s="250"/>
      <c r="R42" s="250"/>
      <c r="S42" s="81"/>
      <c r="X42" s="65"/>
      <c r="AA42" s="12"/>
      <c r="AB42" s="12"/>
      <c r="AG42" s="12"/>
      <c r="AI42" s="12"/>
      <c r="AN42" s="1" t="s">
        <v>186</v>
      </c>
    </row>
    <row r="43" spans="2:40" ht="12.75">
      <c r="B43" s="39">
        <f>B42</f>
        <v>7</v>
      </c>
      <c r="C43" s="82"/>
      <c r="X43" s="65"/>
      <c r="AA43" s="12"/>
      <c r="AB43" s="12"/>
      <c r="AG43" s="12"/>
      <c r="AN43" s="1" t="s">
        <v>187</v>
      </c>
    </row>
    <row r="44" spans="3:40" ht="12.75">
      <c r="C44" s="82"/>
      <c r="X44" s="65"/>
      <c r="AA44" s="12"/>
      <c r="AB44" s="12"/>
      <c r="AG44" s="12"/>
      <c r="AH44" s="65"/>
      <c r="AN44" s="1" t="s">
        <v>188</v>
      </c>
    </row>
    <row r="45" spans="3:40" ht="12.75">
      <c r="C45" s="82"/>
      <c r="J45" s="575" t="s">
        <v>107</v>
      </c>
      <c r="K45" s="575"/>
      <c r="L45" s="476"/>
      <c r="M45" s="476"/>
      <c r="N45" s="476"/>
      <c r="X45" s="65"/>
      <c r="AA45" s="12"/>
      <c r="AB45" s="12"/>
      <c r="AG45" s="12"/>
      <c r="AH45" s="65"/>
      <c r="AI45" s="12"/>
      <c r="AN45" s="1" t="s">
        <v>189</v>
      </c>
    </row>
    <row r="46" spans="3:40" ht="12.75">
      <c r="C46" s="82"/>
      <c r="J46" s="575"/>
      <c r="K46" s="575"/>
      <c r="L46" s="574"/>
      <c r="M46" s="574"/>
      <c r="N46" s="574"/>
      <c r="X46" s="65"/>
      <c r="AA46" s="12"/>
      <c r="AB46" s="12"/>
      <c r="AG46" s="12"/>
      <c r="AH46" s="65"/>
      <c r="AI46" s="12"/>
      <c r="AN46" s="1" t="s">
        <v>263</v>
      </c>
    </row>
    <row r="47" spans="3:40" ht="12.75">
      <c r="C47" s="82"/>
      <c r="X47" s="65"/>
      <c r="AA47" s="12"/>
      <c r="AB47" s="12"/>
      <c r="AG47" s="12"/>
      <c r="AH47" s="65"/>
      <c r="AI47" s="12"/>
      <c r="AN47" s="1" t="s">
        <v>264</v>
      </c>
    </row>
    <row r="48" ht="12.75">
      <c r="AN48" s="1" t="s">
        <v>265</v>
      </c>
    </row>
    <row r="49" ht="12.75">
      <c r="AN49" s="1" t="s">
        <v>216</v>
      </c>
    </row>
    <row r="50" ht="12.75">
      <c r="AN50" s="1" t="s">
        <v>217</v>
      </c>
    </row>
    <row r="51" ht="12.75">
      <c r="AN51" s="1" t="s">
        <v>218</v>
      </c>
    </row>
    <row r="52" ht="12.75">
      <c r="AN52" s="1" t="s">
        <v>219</v>
      </c>
    </row>
    <row r="53" ht="12.75">
      <c r="AN53" s="1" t="s">
        <v>220</v>
      </c>
    </row>
    <row r="54" ht="12.75">
      <c r="AN54" s="1" t="s">
        <v>221</v>
      </c>
    </row>
    <row r="55" ht="12.75">
      <c r="AN55" s="1" t="s">
        <v>222</v>
      </c>
    </row>
    <row r="56" ht="12.75">
      <c r="AN56" s="174" t="s">
        <v>190</v>
      </c>
    </row>
    <row r="57" ht="12.75">
      <c r="AN57" s="1" t="s">
        <v>191</v>
      </c>
    </row>
    <row r="58" ht="12.75">
      <c r="AN58" s="1" t="s">
        <v>192</v>
      </c>
    </row>
    <row r="59" ht="12.75">
      <c r="AN59" s="1" t="s">
        <v>193</v>
      </c>
    </row>
    <row r="60" ht="12.75">
      <c r="AN60" s="1" t="s">
        <v>194</v>
      </c>
    </row>
    <row r="61" ht="12.75">
      <c r="AN61" s="1" t="s">
        <v>195</v>
      </c>
    </row>
    <row r="62" ht="12.75">
      <c r="AN62" s="1" t="s">
        <v>196</v>
      </c>
    </row>
    <row r="63" ht="12.75">
      <c r="AN63" s="1" t="s">
        <v>266</v>
      </c>
    </row>
    <row r="64" ht="12.75">
      <c r="AN64" s="1" t="s">
        <v>267</v>
      </c>
    </row>
    <row r="65" ht="12.75">
      <c r="AN65" s="1" t="s">
        <v>268</v>
      </c>
    </row>
    <row r="66" ht="12.75">
      <c r="AN66" s="1" t="s">
        <v>208</v>
      </c>
    </row>
    <row r="67" ht="12.75">
      <c r="AN67" s="1" t="s">
        <v>209</v>
      </c>
    </row>
    <row r="68" ht="12.75">
      <c r="AN68" s="1" t="s">
        <v>210</v>
      </c>
    </row>
    <row r="69" ht="12.75">
      <c r="AN69" s="1" t="s">
        <v>211</v>
      </c>
    </row>
    <row r="70" ht="12.75">
      <c r="AN70" s="1" t="s">
        <v>212</v>
      </c>
    </row>
    <row r="71" ht="12.75">
      <c r="AN71" s="1" t="s">
        <v>213</v>
      </c>
    </row>
    <row r="72" ht="12.75">
      <c r="AN72" s="1" t="s">
        <v>214</v>
      </c>
    </row>
    <row r="73" ht="12.75">
      <c r="AN73" s="174" t="s">
        <v>224</v>
      </c>
    </row>
    <row r="74" ht="12.75">
      <c r="AN74" s="1" t="s">
        <v>223</v>
      </c>
    </row>
    <row r="75" ht="12.75">
      <c r="AN75" s="1" t="s">
        <v>225</v>
      </c>
    </row>
    <row r="76" ht="12.75">
      <c r="AN76" s="1" t="s">
        <v>226</v>
      </c>
    </row>
    <row r="77" ht="12.75">
      <c r="AN77" s="1" t="s">
        <v>227</v>
      </c>
    </row>
    <row r="78" ht="12.75">
      <c r="AN78" s="1" t="s">
        <v>228</v>
      </c>
    </row>
    <row r="79" ht="12.75">
      <c r="AN79" s="1" t="s">
        <v>229</v>
      </c>
    </row>
    <row r="80" ht="12.75">
      <c r="AN80" s="1" t="s">
        <v>269</v>
      </c>
    </row>
    <row r="81" ht="12.75">
      <c r="AN81" s="1" t="s">
        <v>270</v>
      </c>
    </row>
    <row r="82" ht="12.75">
      <c r="AN82" s="1" t="s">
        <v>271</v>
      </c>
    </row>
    <row r="83" ht="12.75">
      <c r="AN83" s="1" t="s">
        <v>201</v>
      </c>
    </row>
    <row r="84" ht="12.75">
      <c r="AN84" s="1" t="s">
        <v>202</v>
      </c>
    </row>
    <row r="85" ht="12.75">
      <c r="AN85" s="1" t="s">
        <v>203</v>
      </c>
    </row>
    <row r="86" ht="12.75">
      <c r="AN86" s="1" t="s">
        <v>204</v>
      </c>
    </row>
    <row r="87" ht="12.75">
      <c r="AN87" s="1" t="s">
        <v>205</v>
      </c>
    </row>
    <row r="88" ht="12.75">
      <c r="AN88" s="1" t="s">
        <v>206</v>
      </c>
    </row>
    <row r="89" ht="12.75">
      <c r="AN89" s="1" t="s">
        <v>207</v>
      </c>
    </row>
  </sheetData>
  <sheetProtection password="D86C" sheet="1" objects="1" scenarios="1" selectLockedCells="1" selectUnlockedCells="1"/>
  <mergeCells count="46">
    <mergeCell ref="G3:K3"/>
    <mergeCell ref="L45:N46"/>
    <mergeCell ref="J45:K46"/>
    <mergeCell ref="J26:K26"/>
    <mergeCell ref="L26:O26"/>
    <mergeCell ref="K39:M39"/>
    <mergeCell ref="K40:M40"/>
    <mergeCell ref="K31:M31"/>
    <mergeCell ref="K32:M32"/>
    <mergeCell ref="K33:M33"/>
    <mergeCell ref="K34:M34"/>
    <mergeCell ref="K35:M35"/>
    <mergeCell ref="K36:M36"/>
    <mergeCell ref="K41:M41"/>
    <mergeCell ref="K42:M42"/>
    <mergeCell ref="F41:I41"/>
    <mergeCell ref="F42:I42"/>
    <mergeCell ref="K37:M37"/>
    <mergeCell ref="K38:M38"/>
    <mergeCell ref="F37:I37"/>
    <mergeCell ref="F38:I38"/>
    <mergeCell ref="F39:I39"/>
    <mergeCell ref="F40:I40"/>
    <mergeCell ref="F33:I33"/>
    <mergeCell ref="F34:I34"/>
    <mergeCell ref="F35:I35"/>
    <mergeCell ref="F36:I36"/>
    <mergeCell ref="F31:I31"/>
    <mergeCell ref="F32:I32"/>
    <mergeCell ref="F29:G29"/>
    <mergeCell ref="D7:E7"/>
    <mergeCell ref="G7:H7"/>
    <mergeCell ref="D8:E8"/>
    <mergeCell ref="G8:H8"/>
    <mergeCell ref="D12:E12"/>
    <mergeCell ref="C26:E26"/>
    <mergeCell ref="F26:I26"/>
    <mergeCell ref="C23:F25"/>
    <mergeCell ref="E5:F5"/>
    <mergeCell ref="I5:J5"/>
    <mergeCell ref="L5:M5"/>
    <mergeCell ref="E6:F6"/>
    <mergeCell ref="G6:H6"/>
    <mergeCell ref="I6:J6"/>
    <mergeCell ref="L6:M6"/>
    <mergeCell ref="F9:H9"/>
  </mergeCells>
  <dataValidations count="2">
    <dataValidation type="list" allowBlank="1" showInputMessage="1" showErrorMessage="1" sqref="K8:K9">
      <formula1>$AL$5:$AL$17</formula1>
    </dataValidation>
    <dataValidation type="list" allowBlank="1" showInputMessage="1" showErrorMessage="1" sqref="M7">
      <formula1>$AN$5:$AN$90</formula1>
    </dataValidation>
  </dataValidations>
  <printOptions/>
  <pageMargins left="0.3" right="0.25" top="0.25" bottom="0.38" header="0.5" footer="0.5"/>
  <pageSetup blackAndWhite="1" fitToHeight="1" fitToWidth="1" horizontalDpi="300" verticalDpi="300" orientation="portrait" paperSize="57" scale="73" r:id="rId2"/>
  <legacyDrawing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AU178"/>
  <sheetViews>
    <sheetView showGridLines="0" zoomScale="75" zoomScaleNormal="75" zoomScaleSheetLayoutView="75" workbookViewId="0" topLeftCell="A1">
      <selection activeCell="H44" sqref="H44:M47"/>
    </sheetView>
  </sheetViews>
  <sheetFormatPr defaultColWidth="9.140625" defaultRowHeight="12.75"/>
  <cols>
    <col min="1" max="1" width="4.7109375" style="0" customWidth="1"/>
    <col min="2" max="2" width="3.57421875" style="0" hidden="1" customWidth="1"/>
    <col min="3" max="3" width="6.7109375" style="0" customWidth="1"/>
    <col min="4" max="5" width="12.7109375" style="0" customWidth="1"/>
    <col min="6" max="6" width="13.7109375" style="0" customWidth="1"/>
    <col min="7" max="7" width="7.7109375" style="0" customWidth="1"/>
    <col min="8" max="8" width="11.7109375" style="0" customWidth="1"/>
    <col min="9" max="9" width="8.7109375" style="0" customWidth="1"/>
    <col min="10" max="10" width="11.7109375" style="0" customWidth="1"/>
    <col min="11" max="11" width="14.7109375" style="0" customWidth="1"/>
    <col min="12" max="12" width="17.7109375" style="0" customWidth="1"/>
    <col min="13" max="13" width="13.7109375" style="0" customWidth="1"/>
    <col min="14" max="14" width="10.7109375" style="0" customWidth="1"/>
    <col min="15" max="16" width="13.7109375" style="0" customWidth="1"/>
    <col min="17" max="17" width="11.00390625" style="0" customWidth="1"/>
    <col min="18" max="18" width="3.421875" style="0" customWidth="1"/>
    <col min="19" max="19" width="5.421875" style="0" customWidth="1"/>
    <col min="20" max="20" width="4.8515625" style="0" customWidth="1"/>
    <col min="21" max="21" width="5.28125" style="0" customWidth="1"/>
    <col min="22" max="22" width="8.57421875" style="0" customWidth="1"/>
    <col min="23" max="23" width="10.00390625" style="65" customWidth="1"/>
    <col min="24" max="24" width="6.7109375" style="0" customWidth="1"/>
    <col min="25" max="25" width="7.8515625" style="0" customWidth="1"/>
    <col min="26" max="26" width="10.00390625" style="0" customWidth="1"/>
    <col min="27" max="27" width="14.421875" style="65" customWidth="1"/>
    <col min="28" max="28" width="8.28125" style="65" customWidth="1"/>
    <col min="29" max="29" width="6.57421875" style="0" customWidth="1"/>
    <col min="31" max="31" width="10.8515625" style="0" customWidth="1"/>
    <col min="32" max="32" width="8.8515625" style="0" customWidth="1"/>
    <col min="33" max="33" width="11.421875" style="0" customWidth="1"/>
    <col min="34" max="34" width="12.57421875" style="0" customWidth="1"/>
    <col min="35" max="35" width="10.7109375" style="0" customWidth="1"/>
    <col min="36" max="36" width="11.57421875" style="65" customWidth="1"/>
    <col min="37" max="37" width="12.28125" style="0" customWidth="1"/>
    <col min="38" max="38" width="27.00390625" style="0" customWidth="1"/>
    <col min="39" max="39" width="8.00390625" style="0" customWidth="1"/>
    <col min="40" max="40" width="8.28125" style="65" customWidth="1"/>
    <col min="41" max="41" width="6.57421875" style="0" customWidth="1"/>
    <col min="42" max="42" width="9.28125" style="0" customWidth="1"/>
    <col min="43" max="43" width="8.421875" style="0" customWidth="1"/>
    <col min="44" max="44" width="15.00390625" style="0" customWidth="1"/>
    <col min="45" max="45" width="8.57421875" style="0" customWidth="1"/>
    <col min="47" max="47" width="11.7109375" style="0" customWidth="1"/>
    <col min="48" max="48" width="9.57421875" style="0" customWidth="1"/>
  </cols>
  <sheetData>
    <row r="1" spans="1:17" ht="12.75" customHeight="1">
      <c r="A1" s="18"/>
      <c r="B1" s="18"/>
      <c r="C1" s="18"/>
      <c r="D1" s="18"/>
      <c r="E1" s="18"/>
      <c r="F1" s="18"/>
      <c r="G1" s="18"/>
      <c r="H1" s="18"/>
      <c r="I1" s="18"/>
      <c r="J1" s="18"/>
      <c r="K1" s="18"/>
      <c r="L1" s="18"/>
      <c r="M1" s="18"/>
      <c r="N1" s="18"/>
      <c r="O1" s="18"/>
      <c r="P1" s="18"/>
      <c r="Q1" s="18"/>
    </row>
    <row r="2" spans="1:17" ht="22.5" customHeight="1">
      <c r="A2" s="18"/>
      <c r="B2" s="18"/>
      <c r="C2" s="18"/>
      <c r="D2" s="18"/>
      <c r="E2" s="18"/>
      <c r="F2" s="18"/>
      <c r="G2" s="18"/>
      <c r="H2" s="18"/>
      <c r="I2" s="580" t="s">
        <v>26</v>
      </c>
      <c r="J2" s="580"/>
      <c r="K2" s="580"/>
      <c r="L2" s="580"/>
      <c r="M2" s="18" t="s">
        <v>299</v>
      </c>
      <c r="N2" s="18"/>
      <c r="O2" s="18"/>
      <c r="P2" s="18"/>
      <c r="Q2" s="18"/>
    </row>
    <row r="3" spans="1:17" ht="12.75" customHeight="1">
      <c r="A3" s="18"/>
      <c r="B3" s="18"/>
      <c r="C3" s="183"/>
      <c r="D3" s="195">
        <f>Notes!$A$2</f>
        <v>39548</v>
      </c>
      <c r="E3" s="195"/>
      <c r="F3" s="18"/>
      <c r="G3" s="18"/>
      <c r="H3" s="18"/>
      <c r="I3" s="18"/>
      <c r="J3" s="18"/>
      <c r="K3" s="18"/>
      <c r="L3" s="18"/>
      <c r="M3" s="18"/>
      <c r="N3" s="18"/>
      <c r="O3" s="18"/>
      <c r="P3" s="18"/>
      <c r="Q3" s="18"/>
    </row>
    <row r="4" spans="1:17" ht="12.75" customHeight="1">
      <c r="A4" s="18"/>
      <c r="B4" s="18"/>
      <c r="C4" s="183"/>
      <c r="D4" s="18"/>
      <c r="E4" s="18"/>
      <c r="F4" s="18"/>
      <c r="G4" s="18"/>
      <c r="H4" s="18"/>
      <c r="I4" s="18"/>
      <c r="J4" s="18"/>
      <c r="K4" s="18"/>
      <c r="L4" s="18"/>
      <c r="M4" s="18"/>
      <c r="N4" s="18"/>
      <c r="O4" s="4" t="s">
        <v>33</v>
      </c>
      <c r="P4" s="197"/>
      <c r="Q4" s="18"/>
    </row>
    <row r="5" spans="1:17" ht="15.75" customHeight="1">
      <c r="A5" s="18"/>
      <c r="B5" s="18"/>
      <c r="C5" s="18"/>
      <c r="D5" s="268" t="s">
        <v>0</v>
      </c>
      <c r="E5" s="544" t="s">
        <v>249</v>
      </c>
      <c r="F5" s="545"/>
      <c r="G5" s="546"/>
      <c r="H5" s="470" t="s">
        <v>39</v>
      </c>
      <c r="I5" s="471"/>
      <c r="J5" s="550">
        <v>12</v>
      </c>
      <c r="K5" s="550"/>
      <c r="L5" s="8" t="s">
        <v>40</v>
      </c>
      <c r="M5" s="549" t="s">
        <v>246</v>
      </c>
      <c r="N5" s="434"/>
      <c r="O5" s="4" t="s">
        <v>41</v>
      </c>
      <c r="P5" s="196"/>
      <c r="Q5" s="18"/>
    </row>
    <row r="6" spans="1:17" ht="12.75" customHeight="1">
      <c r="A6" s="18"/>
      <c r="B6" s="18"/>
      <c r="C6" s="18"/>
      <c r="D6" s="11" t="s">
        <v>2</v>
      </c>
      <c r="E6" s="434" t="s">
        <v>244</v>
      </c>
      <c r="F6" s="547"/>
      <c r="G6" s="523"/>
      <c r="H6" s="433" t="s">
        <v>44</v>
      </c>
      <c r="I6" s="473"/>
      <c r="J6" s="548">
        <v>1</v>
      </c>
      <c r="K6" s="548"/>
      <c r="L6" s="18"/>
      <c r="M6" s="6"/>
      <c r="N6" s="18"/>
      <c r="O6" s="4" t="s">
        <v>45</v>
      </c>
      <c r="P6" s="197"/>
      <c r="Q6" s="18"/>
    </row>
    <row r="7" spans="1:17" ht="12.75" customHeight="1">
      <c r="A7" s="18"/>
      <c r="B7" s="18"/>
      <c r="C7" s="18"/>
      <c r="D7" s="432" t="s">
        <v>42</v>
      </c>
      <c r="E7" s="466"/>
      <c r="F7" s="482" t="s">
        <v>47</v>
      </c>
      <c r="G7" s="482"/>
      <c r="H7" s="18"/>
      <c r="I7" s="18"/>
      <c r="J7" s="54"/>
      <c r="K7" s="18"/>
      <c r="L7" s="18"/>
      <c r="M7" s="6"/>
      <c r="N7" s="84"/>
      <c r="O7" s="4" t="s">
        <v>235</v>
      </c>
      <c r="P7" s="196"/>
      <c r="Q7" s="18"/>
    </row>
    <row r="8" spans="1:17" ht="12.75" customHeight="1">
      <c r="A8" s="18"/>
      <c r="B8" s="18"/>
      <c r="C8" s="18"/>
      <c r="D8" s="432" t="s">
        <v>46</v>
      </c>
      <c r="E8" s="433"/>
      <c r="F8" s="434" t="s">
        <v>247</v>
      </c>
      <c r="G8" s="523"/>
      <c r="H8" s="465" t="s">
        <v>50</v>
      </c>
      <c r="I8" s="464"/>
      <c r="J8" s="423">
        <v>1231</v>
      </c>
      <c r="K8" s="14" t="s">
        <v>51</v>
      </c>
      <c r="L8" s="422">
        <v>1451</v>
      </c>
      <c r="M8" s="15" t="s">
        <v>52</v>
      </c>
      <c r="N8" s="19">
        <f aca="true" t="shared" si="0" ref="N8:N13">ABS(J8-L8)</f>
        <v>220</v>
      </c>
      <c r="O8" s="17" t="s">
        <v>53</v>
      </c>
      <c r="P8" s="225"/>
      <c r="Q8" s="18"/>
    </row>
    <row r="9" spans="1:17" ht="12.75" customHeight="1">
      <c r="A9" s="18"/>
      <c r="B9" s="18"/>
      <c r="C9" s="18"/>
      <c r="D9" s="432" t="s">
        <v>49</v>
      </c>
      <c r="E9" s="433"/>
      <c r="F9" s="434" t="s">
        <v>250</v>
      </c>
      <c r="G9" s="523"/>
      <c r="H9" s="465" t="s">
        <v>50</v>
      </c>
      <c r="I9" s="464"/>
      <c r="J9" s="424">
        <v>1576</v>
      </c>
      <c r="K9" s="14" t="s">
        <v>51</v>
      </c>
      <c r="L9" s="422">
        <v>2000</v>
      </c>
      <c r="M9" s="15" t="s">
        <v>52</v>
      </c>
      <c r="N9" s="19">
        <f t="shared" si="0"/>
        <v>424</v>
      </c>
      <c r="O9" s="21"/>
      <c r="P9" s="22"/>
      <c r="Q9" s="18"/>
    </row>
    <row r="10" spans="1:17" ht="12.75" customHeight="1">
      <c r="A10" s="18"/>
      <c r="B10" s="18"/>
      <c r="C10" s="18"/>
      <c r="D10" s="432" t="s">
        <v>54</v>
      </c>
      <c r="E10" s="433"/>
      <c r="F10" s="434" t="s">
        <v>251</v>
      </c>
      <c r="G10" s="523"/>
      <c r="H10" s="465" t="s">
        <v>50</v>
      </c>
      <c r="I10" s="464"/>
      <c r="J10" s="424">
        <v>3200</v>
      </c>
      <c r="K10" s="14" t="s">
        <v>51</v>
      </c>
      <c r="L10" s="422">
        <v>4567</v>
      </c>
      <c r="M10" s="15" t="s">
        <v>52</v>
      </c>
      <c r="N10" s="19">
        <f t="shared" si="0"/>
        <v>1367</v>
      </c>
      <c r="O10" s="21"/>
      <c r="P10" s="22"/>
      <c r="Q10" s="18"/>
    </row>
    <row r="11" spans="1:17" ht="12.75" customHeight="1">
      <c r="A11" s="18"/>
      <c r="B11" s="18"/>
      <c r="C11" s="18"/>
      <c r="D11" s="432" t="s">
        <v>56</v>
      </c>
      <c r="E11" s="433"/>
      <c r="F11" s="434" t="s">
        <v>252</v>
      </c>
      <c r="G11" s="523"/>
      <c r="H11" s="465" t="s">
        <v>50</v>
      </c>
      <c r="I11" s="464"/>
      <c r="J11" s="424">
        <v>5045</v>
      </c>
      <c r="K11" s="14" t="s">
        <v>51</v>
      </c>
      <c r="L11" s="422">
        <v>6200</v>
      </c>
      <c r="M11" s="15" t="s">
        <v>52</v>
      </c>
      <c r="N11" s="16">
        <f t="shared" si="0"/>
        <v>1155</v>
      </c>
      <c r="O11" s="17" t="s">
        <v>60</v>
      </c>
      <c r="P11" s="226"/>
      <c r="Q11" s="18"/>
    </row>
    <row r="12" spans="1:17" ht="12.75" customHeight="1">
      <c r="A12" s="18"/>
      <c r="B12" s="18"/>
      <c r="C12" s="18"/>
      <c r="D12" s="432" t="s">
        <v>58</v>
      </c>
      <c r="E12" s="433"/>
      <c r="F12" s="434" t="s">
        <v>253</v>
      </c>
      <c r="G12" s="523"/>
      <c r="H12" s="465" t="s">
        <v>50</v>
      </c>
      <c r="I12" s="464"/>
      <c r="J12" s="424">
        <v>7000</v>
      </c>
      <c r="K12" s="14" t="s">
        <v>51</v>
      </c>
      <c r="L12" s="422">
        <v>8000</v>
      </c>
      <c r="M12" s="15" t="s">
        <v>52</v>
      </c>
      <c r="N12" s="16">
        <f t="shared" si="0"/>
        <v>1000</v>
      </c>
      <c r="O12" s="4" t="s">
        <v>63</v>
      </c>
      <c r="P12" s="227"/>
      <c r="Q12" s="18"/>
    </row>
    <row r="13" spans="1:17" ht="12.75" customHeight="1">
      <c r="A13" s="18"/>
      <c r="B13" s="18"/>
      <c r="C13" s="18"/>
      <c r="D13" s="432" t="s">
        <v>61</v>
      </c>
      <c r="E13" s="433"/>
      <c r="F13" s="434" t="s">
        <v>254</v>
      </c>
      <c r="G13" s="523"/>
      <c r="H13" s="465" t="s">
        <v>50</v>
      </c>
      <c r="I13" s="464"/>
      <c r="J13" s="424">
        <v>9400</v>
      </c>
      <c r="K13" s="14" t="s">
        <v>51</v>
      </c>
      <c r="L13" s="422">
        <v>10000</v>
      </c>
      <c r="M13" s="15" t="s">
        <v>52</v>
      </c>
      <c r="N13" s="16">
        <f t="shared" si="0"/>
        <v>600</v>
      </c>
      <c r="O13" s="4" t="s">
        <v>5</v>
      </c>
      <c r="P13" s="198"/>
      <c r="Q13" s="18"/>
    </row>
    <row r="14" spans="1:17" ht="12.75" customHeight="1">
      <c r="A14" s="18"/>
      <c r="B14" s="18"/>
      <c r="C14" s="18"/>
      <c r="D14" s="432" t="s">
        <v>237</v>
      </c>
      <c r="E14" s="433"/>
      <c r="F14" s="434" t="s">
        <v>255</v>
      </c>
      <c r="G14" s="523"/>
      <c r="H14" s="465" t="s">
        <v>50</v>
      </c>
      <c r="I14" s="464"/>
      <c r="J14" s="424">
        <v>11280</v>
      </c>
      <c r="K14" s="14" t="s">
        <v>51</v>
      </c>
      <c r="L14" s="422">
        <v>12000</v>
      </c>
      <c r="M14" s="15" t="s">
        <v>52</v>
      </c>
      <c r="N14" s="16">
        <f>ABS(J14-L14)</f>
        <v>720</v>
      </c>
      <c r="O14" s="4"/>
      <c r="P14" s="198"/>
      <c r="Q14" s="18"/>
    </row>
    <row r="15" spans="1:17" ht="12.75" customHeight="1">
      <c r="A15" s="18"/>
      <c r="B15" s="18"/>
      <c r="C15" s="18"/>
      <c r="D15" s="432" t="s">
        <v>238</v>
      </c>
      <c r="E15" s="433"/>
      <c r="F15" s="434" t="s">
        <v>256</v>
      </c>
      <c r="G15" s="523"/>
      <c r="H15" s="465" t="s">
        <v>50</v>
      </c>
      <c r="I15" s="464"/>
      <c r="J15" s="424">
        <v>13250</v>
      </c>
      <c r="K15" s="14" t="s">
        <v>51</v>
      </c>
      <c r="L15" s="422">
        <v>14000</v>
      </c>
      <c r="M15" s="15" t="s">
        <v>52</v>
      </c>
      <c r="N15" s="16">
        <f>ABS(J15-L15)</f>
        <v>750</v>
      </c>
      <c r="O15" s="4"/>
      <c r="P15" s="198"/>
      <c r="Q15" s="18"/>
    </row>
    <row r="16" spans="1:17" ht="12.75" customHeight="1">
      <c r="A16" s="18"/>
      <c r="B16" s="18"/>
      <c r="C16" s="18"/>
      <c r="D16" s="432" t="s">
        <v>276</v>
      </c>
      <c r="E16" s="433"/>
      <c r="F16" s="434" t="s">
        <v>277</v>
      </c>
      <c r="G16" s="523"/>
      <c r="H16" s="463" t="s">
        <v>50</v>
      </c>
      <c r="I16" s="433"/>
      <c r="J16" s="424">
        <v>15100</v>
      </c>
      <c r="K16" s="14" t="s">
        <v>51</v>
      </c>
      <c r="L16" s="422">
        <v>16000</v>
      </c>
      <c r="M16" s="15" t="s">
        <v>52</v>
      </c>
      <c r="N16" s="16">
        <f>ABS(J16-L16)</f>
        <v>900</v>
      </c>
      <c r="O16" s="4"/>
      <c r="P16" s="198"/>
      <c r="Q16" s="18"/>
    </row>
    <row r="17" spans="1:17" ht="12.75" customHeight="1">
      <c r="A17" s="18"/>
      <c r="B17" s="18"/>
      <c r="C17" s="18"/>
      <c r="D17" s="432" t="s">
        <v>296</v>
      </c>
      <c r="E17" s="433"/>
      <c r="F17" s="434" t="s">
        <v>278</v>
      </c>
      <c r="G17" s="523"/>
      <c r="H17" s="463" t="s">
        <v>50</v>
      </c>
      <c r="I17" s="433"/>
      <c r="J17" s="424">
        <v>18000</v>
      </c>
      <c r="K17" s="14" t="s">
        <v>51</v>
      </c>
      <c r="L17" s="422">
        <v>18700</v>
      </c>
      <c r="M17" s="15" t="s">
        <v>52</v>
      </c>
      <c r="N17" s="16">
        <f>ABS(J17-L17)</f>
        <v>700</v>
      </c>
      <c r="O17" s="4"/>
      <c r="P17" s="198"/>
      <c r="Q17" s="18"/>
    </row>
    <row r="18" spans="1:17" ht="12.75" customHeight="1">
      <c r="A18" s="18"/>
      <c r="B18" s="18"/>
      <c r="C18" s="18"/>
      <c r="D18" s="18"/>
      <c r="E18" s="18"/>
      <c r="F18" s="18"/>
      <c r="G18" s="18"/>
      <c r="H18" s="483" t="s">
        <v>66</v>
      </c>
      <c r="I18" s="483"/>
      <c r="J18" s="201">
        <v>920</v>
      </c>
      <c r="K18" s="17" t="s">
        <v>67</v>
      </c>
      <c r="L18" s="25">
        <f>IF(L20&gt;0,L20,VLOOKUP(J18,S61:T69,2))</f>
        <v>3</v>
      </c>
      <c r="M18" s="15" t="s">
        <v>3</v>
      </c>
      <c r="N18" s="87">
        <f>SUM(N8:N17)</f>
        <v>7836</v>
      </c>
      <c r="O18" s="4"/>
      <c r="P18" s="26"/>
      <c r="Q18" s="18"/>
    </row>
    <row r="19" spans="1:17" ht="12.75" customHeight="1">
      <c r="A19" s="18"/>
      <c r="B19" s="18"/>
      <c r="C19" s="18"/>
      <c r="D19" s="18"/>
      <c r="E19" s="18"/>
      <c r="F19" s="18"/>
      <c r="G19" s="18"/>
      <c r="H19" s="483" t="s">
        <v>69</v>
      </c>
      <c r="I19" s="483"/>
      <c r="J19" s="27">
        <f>J18/L18</f>
        <v>306.6666666666667</v>
      </c>
      <c r="K19" s="17" t="s">
        <v>70</v>
      </c>
      <c r="L19" s="28">
        <f>N18/L18</f>
        <v>2612</v>
      </c>
      <c r="M19" s="15" t="s">
        <v>4</v>
      </c>
      <c r="N19" s="199">
        <v>12</v>
      </c>
      <c r="O19" s="4" t="s">
        <v>71</v>
      </c>
      <c r="P19" s="155"/>
      <c r="Q19" s="18"/>
    </row>
    <row r="20" spans="1:17" ht="12.75" customHeight="1">
      <c r="A20" s="18"/>
      <c r="B20" s="18"/>
      <c r="C20" s="18"/>
      <c r="D20" s="18"/>
      <c r="E20" s="18"/>
      <c r="F20" s="107"/>
      <c r="G20" s="107"/>
      <c r="H20" s="84"/>
      <c r="I20" s="107"/>
      <c r="J20" s="474" t="s">
        <v>273</v>
      </c>
      <c r="K20" s="475"/>
      <c r="L20" s="357"/>
      <c r="M20" s="107"/>
      <c r="N20" s="107"/>
      <c r="O20" s="107"/>
      <c r="P20" s="107"/>
      <c r="Q20" s="18"/>
    </row>
    <row r="21" spans="1:17" ht="12.75" customHeight="1">
      <c r="A21" s="18"/>
      <c r="B21" s="18"/>
      <c r="C21" s="18"/>
      <c r="D21" s="18"/>
      <c r="E21" s="18"/>
      <c r="F21" s="18"/>
      <c r="G21" s="18"/>
      <c r="H21" s="18"/>
      <c r="I21" s="18"/>
      <c r="J21" s="18"/>
      <c r="K21" s="18"/>
      <c r="L21" s="18"/>
      <c r="M21" s="18"/>
      <c r="N21" s="18"/>
      <c r="O21" s="18"/>
      <c r="P21" s="18"/>
      <c r="Q21" s="18"/>
    </row>
    <row r="22" spans="1:17" ht="12.75" customHeight="1">
      <c r="A22" s="18"/>
      <c r="B22" s="18"/>
      <c r="C22" s="31"/>
      <c r="D22" s="202"/>
      <c r="E22" s="32"/>
      <c r="F22" s="33" t="s">
        <v>75</v>
      </c>
      <c r="G22" s="33" t="s">
        <v>34</v>
      </c>
      <c r="H22" s="13" t="s">
        <v>76</v>
      </c>
      <c r="I22" s="13" t="s">
        <v>34</v>
      </c>
      <c r="J22" s="13" t="s">
        <v>77</v>
      </c>
      <c r="K22" s="89" t="s">
        <v>42</v>
      </c>
      <c r="L22" s="13" t="s">
        <v>42</v>
      </c>
      <c r="M22" s="33" t="s">
        <v>78</v>
      </c>
      <c r="N22" s="13" t="s">
        <v>76</v>
      </c>
      <c r="O22" s="13" t="s">
        <v>79</v>
      </c>
      <c r="P22" s="13" t="s">
        <v>80</v>
      </c>
      <c r="Q22" s="18"/>
    </row>
    <row r="23" spans="1:17" ht="12.75" customHeight="1">
      <c r="A23" s="18"/>
      <c r="B23" s="18"/>
      <c r="C23" s="34"/>
      <c r="D23" s="203"/>
      <c r="E23" s="35"/>
      <c r="F23" s="36"/>
      <c r="G23" s="37" t="s">
        <v>82</v>
      </c>
      <c r="H23" s="38" t="s">
        <v>83</v>
      </c>
      <c r="I23" s="38" t="s">
        <v>30</v>
      </c>
      <c r="J23" s="38"/>
      <c r="K23" s="90"/>
      <c r="L23" s="38" t="s">
        <v>84</v>
      </c>
      <c r="M23" s="36" t="s">
        <v>37</v>
      </c>
      <c r="N23" s="38" t="s">
        <v>83</v>
      </c>
      <c r="O23" s="38" t="s">
        <v>85</v>
      </c>
      <c r="P23" s="38" t="s">
        <v>37</v>
      </c>
      <c r="Q23" s="18"/>
    </row>
    <row r="24" spans="1:17" ht="15">
      <c r="A24" s="18"/>
      <c r="B24" s="111" t="s">
        <v>87</v>
      </c>
      <c r="C24" s="40" t="s">
        <v>34</v>
      </c>
      <c r="D24" s="23" t="s">
        <v>280</v>
      </c>
      <c r="E24" s="425">
        <f>C25+0.1</f>
        <v>4.1</v>
      </c>
      <c r="F24" s="426" t="str">
        <f>IF(('random numbers'!$B$158&lt;0.5),(CONCATENATE(E24," (test comp.)")),E24)</f>
        <v>4.1 (test comp.)</v>
      </c>
      <c r="G24" s="41"/>
      <c r="H24" s="167">
        <f>'random numbers'!B13</f>
        <v>0.5543181300163269</v>
      </c>
      <c r="I24" s="56">
        <f>$L$19</f>
        <v>2612</v>
      </c>
      <c r="J24" s="42">
        <f>H24*I24</f>
        <v>1447.8789556026459</v>
      </c>
      <c r="K24" s="23" t="str">
        <f>VLOOKUP(10000000,$AJ$81:$AK$90,2)</f>
        <v>Lane 3</v>
      </c>
      <c r="L24" s="38" t="str">
        <f>VLOOKUP(K24,$D$8:$G$17,3)</f>
        <v>third</v>
      </c>
      <c r="M24" s="288">
        <f>VLOOKUP(K24,$AG$81:$AJ$90,4)</f>
        <v>4003.878955602646</v>
      </c>
      <c r="N24" s="167">
        <f>'random numbers'!B30</f>
        <v>0.3719702959060669</v>
      </c>
      <c r="O24" s="260">
        <f>$N$19</f>
        <v>12</v>
      </c>
      <c r="P24" s="43">
        <f aca="true" t="shared" si="1" ref="P24:P40">IF(O24="","",N24*O24)</f>
        <v>4.463643550872803</v>
      </c>
      <c r="Q24" s="18"/>
    </row>
    <row r="25" spans="1:17" ht="15">
      <c r="A25" s="18"/>
      <c r="B25" s="111">
        <v>1</v>
      </c>
      <c r="C25" s="338">
        <v>4</v>
      </c>
      <c r="D25" s="23" t="s">
        <v>280</v>
      </c>
      <c r="E25" s="425">
        <f>C25+0.2</f>
        <v>4.2</v>
      </c>
      <c r="F25" s="426">
        <f>IF(('random numbers'!$B$158&gt;=0.5),(CONCATENATE(E25," (test comp.)")),E25)</f>
        <v>4.2</v>
      </c>
      <c r="G25" s="46">
        <f>$J$19</f>
        <v>306.6666666666667</v>
      </c>
      <c r="H25" s="167">
        <f>'random numbers'!B14</f>
        <v>0.1804715394973755</v>
      </c>
      <c r="I25" s="47">
        <f>$L$19</f>
        <v>2612</v>
      </c>
      <c r="J25" s="42">
        <f>H25*I25</f>
        <v>471.3916611671448</v>
      </c>
      <c r="K25" s="23" t="str">
        <f>VLOOKUP(10000000,$AN$81:$AO$90,2)</f>
        <v>Lane 2</v>
      </c>
      <c r="L25" s="38" t="str">
        <f>VLOOKUP(K25,$D$8:$G$17,3)</f>
        <v>second</v>
      </c>
      <c r="M25" s="288">
        <f>VLOOKUP(K25,$AK$81:$AN$90,4)</f>
        <v>1827.3916611671448</v>
      </c>
      <c r="N25" s="167">
        <f>'random numbers'!B31</f>
        <v>0.4426944851875305</v>
      </c>
      <c r="O25" s="260">
        <f>$N$19</f>
        <v>12</v>
      </c>
      <c r="P25" s="43">
        <f t="shared" si="1"/>
        <v>5.312333822250366</v>
      </c>
      <c r="Q25" s="18"/>
    </row>
    <row r="26" spans="1:17" ht="15">
      <c r="A26" s="18"/>
      <c r="B26" s="111"/>
      <c r="C26" s="228"/>
      <c r="D26" s="23" t="s">
        <v>279</v>
      </c>
      <c r="E26" s="578" t="str">
        <f>AL62</f>
        <v>4.2L  4.2R  test comp to  4.2R</v>
      </c>
      <c r="F26" s="579"/>
      <c r="G26" s="284"/>
      <c r="H26" s="167"/>
      <c r="I26" s="42"/>
      <c r="J26" s="42"/>
      <c r="K26" s="23" t="str">
        <f>IF(AE62=0,"",(IF(AG62=0.1,K24,(IF(AG62=0.2,K25,"")))))</f>
        <v>Lane 2</v>
      </c>
      <c r="L26" s="38" t="str">
        <f>IF(AE62=0,"",(IF(AG62=0.1,L24,(IF(AG62=0.2,L25,"")))))</f>
        <v>second</v>
      </c>
      <c r="M26" s="288">
        <f>IF(AE62=0,"",(IF(AG62=0.1,M24,(IF(AG62=0.2,M25,"")))))</f>
        <v>1827.3916611671448</v>
      </c>
      <c r="N26" s="167"/>
      <c r="O26" s="260"/>
      <c r="P26" s="43"/>
      <c r="Q26" s="18"/>
    </row>
    <row r="27" spans="1:17" ht="15">
      <c r="A27" s="18"/>
      <c r="B27" s="111">
        <v>1</v>
      </c>
      <c r="C27" s="40" t="s">
        <v>34</v>
      </c>
      <c r="D27" s="23" t="s">
        <v>280</v>
      </c>
      <c r="E27" s="425">
        <f>IF(C28="","",C28+0.1)</f>
        <v>5.1</v>
      </c>
      <c r="F27" s="426" t="str">
        <f>IF(('random numbers'!$B$159&lt;0.5),(CONCATENATE(E27," (test comp.)")),E27)</f>
        <v>5.1 (test comp.)</v>
      </c>
      <c r="G27" s="41"/>
      <c r="H27" s="167">
        <f>'random numbers'!B16</f>
        <v>0.6718127727508545</v>
      </c>
      <c r="I27" s="42">
        <f>IF($L$18&gt;1,$L$19,"")</f>
        <v>2612</v>
      </c>
      <c r="J27" s="42">
        <f>IF(I27="","",H27*I27)</f>
        <v>1754.774962425232</v>
      </c>
      <c r="K27" s="23" t="str">
        <f>IF($L$18&lt;2,"",VLOOKUP(10000000,$AJ$92:$AK$101,2))</f>
        <v>Lane 6</v>
      </c>
      <c r="L27" s="38" t="str">
        <f>IF(K27="","",VLOOKUP(K27,$D$8:$G$17,3))</f>
        <v>sixth</v>
      </c>
      <c r="M27" s="288">
        <f>IF(K27="","",VLOOKUP(K27,$AG$92:$AJ$101,4))</f>
        <v>9600.774962425232</v>
      </c>
      <c r="N27" s="167">
        <f>'random numbers'!B33</f>
        <v>0.33588117361068726</v>
      </c>
      <c r="O27" s="260">
        <f>IF($L$18&gt;1,$N$19,"")</f>
        <v>12</v>
      </c>
      <c r="P27" s="43">
        <f t="shared" si="1"/>
        <v>4.030574083328247</v>
      </c>
      <c r="Q27" s="18"/>
    </row>
    <row r="28" spans="1:17" ht="15">
      <c r="A28" s="18"/>
      <c r="B28" s="18"/>
      <c r="C28" s="281">
        <f>IF($L$18&gt;B27,C25+1,"")</f>
        <v>5</v>
      </c>
      <c r="D28" s="23" t="s">
        <v>280</v>
      </c>
      <c r="E28" s="425">
        <f>IF(C28="","",C28+0.2)</f>
        <v>5.2</v>
      </c>
      <c r="F28" s="426">
        <f>IF(('random numbers'!$B$159&gt;=0.5),(CONCATENATE(E28," (test comp.)")),E28)</f>
        <v>5.2</v>
      </c>
      <c r="G28" s="46">
        <f>IF($L$18&gt;1,$J$19,"")</f>
        <v>306.6666666666667</v>
      </c>
      <c r="H28" s="167">
        <f>'random numbers'!B17</f>
        <v>0.8279876112937927</v>
      </c>
      <c r="I28" s="42">
        <f>IF($L$18&gt;1,$L$19,"")</f>
        <v>2612</v>
      </c>
      <c r="J28" s="42">
        <f>IF(I27="","",H28*I28)</f>
        <v>2162.7036406993866</v>
      </c>
      <c r="K28" s="23" t="str">
        <f>IF($L$18&lt;2,"",VLOOKUP(10000000,$AN$92:$AO$101,2))</f>
        <v>Lane 7</v>
      </c>
      <c r="L28" s="38" t="str">
        <f>IF(K28="","",VLOOKUP(K28,$D$8:$G$17,3))</f>
        <v>seventh</v>
      </c>
      <c r="M28" s="288">
        <f>IF(K28="","",VLOOKUP(K28,$AK$92:$AN$101,4))</f>
        <v>11288.703640699387</v>
      </c>
      <c r="N28" s="167">
        <f>'random numbers'!B34</f>
        <v>0.8165410757064819</v>
      </c>
      <c r="O28" s="260">
        <f>IF($L$18&gt;1,$N$19,"")</f>
        <v>12</v>
      </c>
      <c r="P28" s="43">
        <f t="shared" si="1"/>
        <v>9.798492908477783</v>
      </c>
      <c r="Q28" s="18"/>
    </row>
    <row r="29" spans="1:17" ht="15">
      <c r="A29" s="18"/>
      <c r="B29" s="18"/>
      <c r="C29" s="45"/>
      <c r="D29" s="23" t="s">
        <v>279</v>
      </c>
      <c r="E29" s="578">
        <f>AL63</f>
      </c>
      <c r="F29" s="579"/>
      <c r="G29" s="284"/>
      <c r="H29" s="167"/>
      <c r="I29" s="42"/>
      <c r="J29" s="42"/>
      <c r="K29" s="23">
        <f>IF(AE63=0,"",(IF(AG63=0.1,K27,(IF(AG63=0.2,K28,"")))))</f>
      </c>
      <c r="L29" s="38">
        <f>IF(AE63=0,"",(IF(AG63=0.1,L27,(IF(AG63=0.2,L28,"")))))</f>
      </c>
      <c r="M29" s="288">
        <f>IF(AE63=0,"",(IF(AG63=0.1,M27,(IF(AG63=0.2,M28,"")))))</f>
      </c>
      <c r="N29" s="167"/>
      <c r="O29" s="260"/>
      <c r="P29" s="43"/>
      <c r="Q29" s="18"/>
    </row>
    <row r="30" spans="1:17" ht="15">
      <c r="A30" s="18"/>
      <c r="B30" s="111">
        <f>IF($K$18&gt;B27,B27+1," ")</f>
        <v>2</v>
      </c>
      <c r="C30" s="40" t="s">
        <v>34</v>
      </c>
      <c r="D30" s="23" t="s">
        <v>280</v>
      </c>
      <c r="E30" s="425">
        <f>IF(C31="","",C31+0.1)</f>
        <v>6.1</v>
      </c>
      <c r="F30" s="426" t="str">
        <f>IF(('random numbers'!$B$160&lt;0.5),(CONCATENATE(E30," (test comp.)")),E30)</f>
        <v>6.1 (test comp.)</v>
      </c>
      <c r="G30" s="41"/>
      <c r="H30" s="167">
        <f>'random numbers'!B19</f>
        <v>0.23387819528579712</v>
      </c>
      <c r="I30" s="42">
        <f>IF($L$18&gt;2,$L$19,"")</f>
        <v>2612</v>
      </c>
      <c r="J30" s="42">
        <f>IF(I30="","",H30*I30)</f>
        <v>610.8898460865021</v>
      </c>
      <c r="K30" s="23" t="str">
        <f>IF($L$18&lt;3,"",VLOOKUP(10000000,$AJ$103:$AK$112,2))</f>
        <v>Lane 8</v>
      </c>
      <c r="L30" s="38" t="str">
        <f>IF(K30="","",VLOOKUP(K30,$D$8:$G$17,3))</f>
        <v>eighth</v>
      </c>
      <c r="M30" s="288">
        <f>IF(K30="","",VLOOKUP(K30,$AG$103:$AJ$112,4))</f>
        <v>13598.889846086502</v>
      </c>
      <c r="N30" s="167">
        <f>'random numbers'!B36</f>
        <v>0.9660797119140625</v>
      </c>
      <c r="O30" s="260">
        <f>IF($L$18&gt;2,$N$19,"")</f>
        <v>12</v>
      </c>
      <c r="P30" s="43">
        <f t="shared" si="1"/>
        <v>11.59295654296875</v>
      </c>
      <c r="Q30" s="18"/>
    </row>
    <row r="31" spans="1:17" ht="15">
      <c r="A31" s="18"/>
      <c r="B31" s="111">
        <f>B30</f>
        <v>2</v>
      </c>
      <c r="C31" s="281">
        <f>IF($L$18&gt;B31,C28+1,"")</f>
        <v>6</v>
      </c>
      <c r="D31" s="23" t="s">
        <v>280</v>
      </c>
      <c r="E31" s="425">
        <f>IF(C31="","",C31+0.2)</f>
        <v>6.2</v>
      </c>
      <c r="F31" s="426">
        <f>IF(('random numbers'!$B$160&gt;=0.5),(CONCATENATE(E31," (test comp.)")),E31)</f>
        <v>6.2</v>
      </c>
      <c r="G31" s="46">
        <f>IF($L$18&gt;2,$J$19,"")</f>
        <v>306.6666666666667</v>
      </c>
      <c r="H31" s="167">
        <f>'random numbers'!B20</f>
        <v>0.14179134368896484</v>
      </c>
      <c r="I31" s="47">
        <f>IF($L$18&gt;2,$L$19,"")</f>
        <v>2612</v>
      </c>
      <c r="J31" s="42">
        <f>IF(I30="","",H31*I31)</f>
        <v>370.3589897155762</v>
      </c>
      <c r="K31" s="23" t="str">
        <f>IF($L$18&lt;3,"",VLOOKUP(10000000,$AN$103:$AO$112,2))</f>
        <v>Lane 8</v>
      </c>
      <c r="L31" s="38" t="str">
        <f>IF(K31="","",VLOOKUP(K31,$D$8:$G$17,3))</f>
        <v>eighth</v>
      </c>
      <c r="M31" s="288">
        <f>IF(K31="","",VLOOKUP(K31,$AK$103:$AN$112,4))</f>
        <v>13358.358989715576</v>
      </c>
      <c r="N31" s="167">
        <f>'random numbers'!B37</f>
        <v>0.6603662371635437</v>
      </c>
      <c r="O31" s="260">
        <f>IF($L$18&gt;2,$N$19,"")</f>
        <v>12</v>
      </c>
      <c r="P31" s="43">
        <f t="shared" si="1"/>
        <v>7.924394845962524</v>
      </c>
      <c r="Q31" s="18"/>
    </row>
    <row r="32" spans="1:17" ht="15">
      <c r="A32" s="18"/>
      <c r="B32" s="111"/>
      <c r="C32" s="45"/>
      <c r="D32" s="23" t="s">
        <v>279</v>
      </c>
      <c r="E32" s="578">
        <f>AL64</f>
      </c>
      <c r="F32" s="579"/>
      <c r="G32" s="284"/>
      <c r="H32" s="167"/>
      <c r="I32" s="47"/>
      <c r="J32" s="42"/>
      <c r="K32" s="23">
        <f>IF(AE64=0,"",(IF(AG64=0.1,K30,(IF(AG64=0.2,K31,"")))))</f>
      </c>
      <c r="L32" s="38">
        <f>IF(AE64=0,"",(IF(AG64=0.1,L30,(IF(AG64=0.2,L31,"")))))</f>
      </c>
      <c r="M32" s="288">
        <f>IF(AE64=0,"",(IF(AG64=0.1,M30,(IF(AG64=0.2,M31,"")))))</f>
      </c>
      <c r="N32" s="167"/>
      <c r="O32" s="260"/>
      <c r="P32" s="43"/>
      <c r="Q32" s="18"/>
    </row>
    <row r="33" spans="1:17" ht="15">
      <c r="A33" s="18"/>
      <c r="B33" s="18"/>
      <c r="C33" s="40" t="s">
        <v>34</v>
      </c>
      <c r="D33" s="23" t="s">
        <v>280</v>
      </c>
      <c r="E33" s="425">
        <f>IF(C34="","",C34+0.1)</f>
      </c>
      <c r="F33" s="426" t="str">
        <f>IF(('random numbers'!$B$161&lt;0.5),(CONCATENATE(E33," (test comp.)")),E33)</f>
        <v> (test comp.)</v>
      </c>
      <c r="G33" s="41"/>
      <c r="H33" s="167">
        <f>'random numbers'!B22</f>
        <v>0.12042868137359619</v>
      </c>
      <c r="I33" s="47">
        <f>IF($L$18&gt;3,$L$19,"")</f>
      </c>
      <c r="J33" s="42">
        <f>IF(I33="","",H33*I33)</f>
      </c>
      <c r="K33" s="23">
        <f>IF($L$18&lt;4,"",VLOOKUP(10000000,$AJ$114:$AK$123,2))</f>
      </c>
      <c r="L33" s="38">
        <f>IF(K33="","",VLOOKUP(K33,$D$8:$G$17,3))</f>
      </c>
      <c r="M33" s="288">
        <f>IF(K33="","",VLOOKUP(K33,$AG$114:$AJ$123,4))</f>
      </c>
      <c r="N33" s="167">
        <f>'random numbers'!B39</f>
        <v>0.3572438359260559</v>
      </c>
      <c r="O33" s="260">
        <f>IF($L$18&gt;3,$N$19,"")</f>
      </c>
      <c r="P33" s="43">
        <f t="shared" si="1"/>
      </c>
      <c r="Q33" s="18"/>
    </row>
    <row r="34" spans="1:17" ht="15">
      <c r="A34" s="18"/>
      <c r="B34" s="111">
        <f>IF($K$18&gt;B31,B31+1," ")</f>
        <v>3</v>
      </c>
      <c r="C34" s="281">
        <f>IF($L$18&gt;B36,C31+1,"")</f>
      </c>
      <c r="D34" s="23" t="s">
        <v>280</v>
      </c>
      <c r="E34" s="425">
        <f>IF(C34="","",C34+0.2)</f>
      </c>
      <c r="F34" s="426">
        <f>IF(('random numbers'!$B$161&gt;=0.5),(CONCATENATE(E34," (test comp.)")),E34)</f>
      </c>
      <c r="G34" s="46">
        <f>IF($L$18&gt;3,$J$19,"")</f>
      </c>
      <c r="H34" s="167">
        <f>'random numbers'!B23</f>
        <v>0.21656066179275513</v>
      </c>
      <c r="I34" s="47">
        <f>IF($L$18&gt;3,$L$19,"")</f>
      </c>
      <c r="J34" s="42">
        <f>IF(I33="","",H34*I34)</f>
      </c>
      <c r="K34" s="23">
        <f>IF($L$18&lt;4,"",VLOOKUP(10000000,$AN$114:$AO$123,2))</f>
      </c>
      <c r="L34" s="38">
        <f>IF(K34="","",VLOOKUP(K34,$D$8:$G$17,3))</f>
      </c>
      <c r="M34" s="288">
        <f>IF(K34="","",VLOOKUP(K34,$AK$114:$AN$123,4))</f>
      </c>
      <c r="N34" s="167">
        <f>'random numbers'!B40</f>
        <v>0.752453088760376</v>
      </c>
      <c r="O34" s="260">
        <f>IF($L$18&gt;3,$N$19,"")</f>
      </c>
      <c r="P34" s="43">
        <f t="shared" si="1"/>
      </c>
      <c r="Q34" s="18"/>
    </row>
    <row r="35" spans="1:17" ht="15">
      <c r="A35" s="18"/>
      <c r="B35" s="111"/>
      <c r="C35" s="45"/>
      <c r="D35" s="23" t="s">
        <v>279</v>
      </c>
      <c r="E35" s="578">
        <f>AL65</f>
      </c>
      <c r="F35" s="579"/>
      <c r="G35" s="284"/>
      <c r="H35" s="167"/>
      <c r="I35" s="47"/>
      <c r="J35" s="42"/>
      <c r="K35" s="23">
        <f>IF(AE65=0,"",(IF(AG65=0.1,K33,(IF(AG65=0.2,K34,"")))))</f>
      </c>
      <c r="L35" s="38">
        <f>IF(AE65=0,"",(IF(AG65=0.1,L33,(IF(AG65=0.2,L34,"")))))</f>
      </c>
      <c r="M35" s="288">
        <f>IF(AE65=0,"",(IF(AG65=0.1,M33,(IF(AG65=0.2,M34,"")))))</f>
      </c>
      <c r="N35" s="167"/>
      <c r="O35" s="260"/>
      <c r="P35" s="43"/>
      <c r="Q35" s="18"/>
    </row>
    <row r="36" spans="1:17" ht="15">
      <c r="A36" s="18"/>
      <c r="B36" s="111">
        <f>B34</f>
        <v>3</v>
      </c>
      <c r="C36" s="40" t="s">
        <v>34</v>
      </c>
      <c r="D36" s="23" t="s">
        <v>280</v>
      </c>
      <c r="E36" s="425">
        <f>IF(C37="","",C37+0.1)</f>
      </c>
      <c r="F36" s="426">
        <f>IF(('random numbers'!$B$162&lt;0.5),(CONCATENATE(E36," (test comp.)")),E36)</f>
      </c>
      <c r="G36" s="282"/>
      <c r="H36" s="167">
        <f>'random numbers'!B25</f>
        <v>0.7933525443077087</v>
      </c>
      <c r="I36" s="47">
        <f>IF($L$18&gt;4,$L$19,"")</f>
      </c>
      <c r="J36" s="42">
        <f>IF(I36="","",H36*I36)</f>
      </c>
      <c r="K36" s="23">
        <f>IF($L$18&lt;5,"",VLOOKUP(10000000,$AJ$125:$AK$134,2))</f>
      </c>
      <c r="L36" s="38">
        <f>IF(K36="","",VLOOKUP(K36,$D$8:$G$17,3))</f>
      </c>
      <c r="M36" s="288">
        <f>IF(K36="","",VLOOKUP(K36,$AG$125:$AJ$134,4))</f>
      </c>
      <c r="N36" s="167">
        <f>'random numbers'!B42</f>
        <v>0.3892878293991089</v>
      </c>
      <c r="O36" s="260">
        <f>IF($L$18&gt;4,$N$19,"")</f>
      </c>
      <c r="P36" s="43">
        <f t="shared" si="1"/>
      </c>
      <c r="Q36" s="18"/>
    </row>
    <row r="37" spans="1:17" ht="15">
      <c r="A37" s="18"/>
      <c r="B37" s="18"/>
      <c r="C37" s="281">
        <f>IF($L$18&gt;B40,C34+1,"")</f>
      </c>
      <c r="D37" s="23" t="s">
        <v>280</v>
      </c>
      <c r="E37" s="425">
        <f>IF(C37="","",C37+0.2)</f>
      </c>
      <c r="F37" s="426" t="str">
        <f>IF(('random numbers'!$B$162&gt;=0.5),(CONCATENATE(E37," (test comp.)")),E37)</f>
        <v> (test comp.)</v>
      </c>
      <c r="G37" s="283">
        <f>IF($L$18&gt;4,$J$19,"")</f>
      </c>
      <c r="H37" s="167">
        <f>'random numbers'!B26</f>
        <v>0.932209849357605</v>
      </c>
      <c r="I37" s="47">
        <f>IF($L$18&gt;4,$L$19,"")</f>
      </c>
      <c r="J37" s="42">
        <f>IF(I36="","",H37*I37)</f>
      </c>
      <c r="K37" s="23">
        <f>IF($L$18&lt;5,"",VLOOKUP(10000000,$AN$125:$AO$134,2))</f>
      </c>
      <c r="L37" s="38">
        <f>IF(K37="","",VLOOKUP(K37,$D$8:$G$17,3))</f>
      </c>
      <c r="M37" s="288">
        <f>IF(K37="","",VLOOKUP(K37,$AK$125:$AN$134,4))</f>
      </c>
      <c r="N37" s="167">
        <f>'random numbers'!B43</f>
        <v>0.656321108341217</v>
      </c>
      <c r="O37" s="260">
        <f>IF($L$18&gt;4,$N$19,"")</f>
      </c>
      <c r="P37" s="43">
        <f t="shared" si="1"/>
      </c>
      <c r="Q37" s="18"/>
    </row>
    <row r="38" spans="1:17" ht="15">
      <c r="A38" s="18"/>
      <c r="B38" s="18"/>
      <c r="C38" s="45"/>
      <c r="D38" s="23" t="s">
        <v>279</v>
      </c>
      <c r="E38" s="578">
        <f>AL66</f>
      </c>
      <c r="F38" s="579"/>
      <c r="G38" s="285"/>
      <c r="H38" s="167"/>
      <c r="I38" s="47"/>
      <c r="J38" s="42"/>
      <c r="K38" s="23">
        <f>IF(AE66=0,"",(IF(AG66=0.1,K36,(IF(AG66=0.2,K37,"")))))</f>
      </c>
      <c r="L38" s="38">
        <f>IF(AE66=0,"",(IF(AG66=0.1,L36,(IF(AG66=0.2,L37,"")))))</f>
      </c>
      <c r="M38" s="288">
        <f>IF(AE66=0,"",(IF(AG66=0.1,M36,(IF(AG66=0.2,M37,"")))))</f>
      </c>
      <c r="N38" s="167"/>
      <c r="O38" s="260"/>
      <c r="P38" s="43"/>
      <c r="Q38" s="18"/>
    </row>
    <row r="39" spans="1:17" ht="15">
      <c r="A39" s="18"/>
      <c r="B39" s="111">
        <f>IF($K$18&gt;B36,B36+1," ")</f>
        <v>4</v>
      </c>
      <c r="C39" s="40" t="s">
        <v>34</v>
      </c>
      <c r="D39" s="23" t="s">
        <v>280</v>
      </c>
      <c r="E39" s="425">
        <f>IF(C40="","",C40+0.1)</f>
      </c>
      <c r="F39" s="426">
        <f>IF(('random numbers'!$B$163&lt;0.5),(CONCATENATE(E39," (test comp.)")),E39)</f>
      </c>
      <c r="G39" s="41"/>
      <c r="H39" s="167">
        <f>'random numbers'!B28</f>
        <v>0.030932903289794922</v>
      </c>
      <c r="I39" s="47">
        <f>IF($L$18&gt;5,$L$19,"")</f>
      </c>
      <c r="J39" s="42">
        <f>IF(I39="","",H39*I39)</f>
      </c>
      <c r="K39" s="23">
        <f>IF($L$18&lt;6,"",VLOOKUP(10000000,$AJ$136:$AK$145,2))</f>
      </c>
      <c r="L39" s="38">
        <f>IF(K39="","",VLOOKUP(K39,$D$8:$G$17,3))</f>
      </c>
      <c r="M39" s="288">
        <f>IF(K39="","",VLOOKUP(K39,$AG$136:$AJ$145,4))</f>
      </c>
      <c r="N39" s="167">
        <f>'random numbers'!B45</f>
        <v>0.5241000056266785</v>
      </c>
      <c r="O39" s="260">
        <f>IF($L$18&gt;5,$N$19,"")</f>
      </c>
      <c r="P39" s="43">
        <f t="shared" si="1"/>
      </c>
      <c r="Q39" s="18"/>
    </row>
    <row r="40" spans="1:17" ht="15">
      <c r="A40" s="18"/>
      <c r="B40" s="111">
        <f>B39</f>
        <v>4</v>
      </c>
      <c r="C40" s="281">
        <f>IF($L$18&gt;B44,C37+1,"")</f>
      </c>
      <c r="D40" s="23" t="s">
        <v>280</v>
      </c>
      <c r="E40" s="425">
        <f>IF(C40="","",C40+0.2)</f>
      </c>
      <c r="F40" s="426" t="str">
        <f>IF(('random numbers'!$B$163&gt;=0.5),(CONCATENATE(E40," (test comp.)")),E40)</f>
        <v> (test comp.)</v>
      </c>
      <c r="G40" s="46">
        <f>IF($L$18&gt;5,$J$19,"")</f>
      </c>
      <c r="H40" s="167">
        <f>'random numbers'!B29</f>
        <v>0.7506272196769714</v>
      </c>
      <c r="I40" s="47">
        <f>IF($L$18&gt;5,$L$19,"")</f>
      </c>
      <c r="J40" s="47">
        <f>IF(I39="","",H40*I40)</f>
      </c>
      <c r="K40" s="23">
        <f>IF($L$18&lt;6,"",VLOOKUP(10000000,$AN$136:$AO$145,2))</f>
      </c>
      <c r="L40" s="38">
        <f>IF(K40="","",VLOOKUP(K40,$D$8:$G$17,3))</f>
      </c>
      <c r="M40" s="288">
        <f>IF(K40="","",VLOOKUP(K40,$AK$136:$AN$145,4))</f>
      </c>
      <c r="N40" s="167">
        <f>'random numbers'!B46</f>
        <v>0.5174638032913208</v>
      </c>
      <c r="O40" s="261">
        <f>IF($L$18&gt;5,$N$19,"")</f>
      </c>
      <c r="P40" s="51">
        <f t="shared" si="1"/>
      </c>
      <c r="Q40" s="18"/>
    </row>
    <row r="41" spans="1:17" ht="15">
      <c r="A41" s="18"/>
      <c r="B41" s="111"/>
      <c r="C41" s="45"/>
      <c r="D41" s="23" t="s">
        <v>279</v>
      </c>
      <c r="E41" s="578">
        <f>AL67</f>
      </c>
      <c r="F41" s="579"/>
      <c r="G41" s="284"/>
      <c r="H41" s="167"/>
      <c r="I41" s="47"/>
      <c r="J41" s="47"/>
      <c r="K41" s="23">
        <f>IF(AE67=0,"",(IF(AG67=0.1,K39,(IF(AG67=0.2,K40,"")))))</f>
      </c>
      <c r="L41" s="23">
        <f>IF(AE67=0,"",(IF(AG67=0.1,L39,(IF(AG67=0.2,L40,"")))))</f>
      </c>
      <c r="M41" s="288">
        <f>IF(AE67=0,"",(IF(AG67=0.1,M39,(IF(AG67=0.2,M40,"")))))</f>
      </c>
      <c r="N41" s="167"/>
      <c r="O41" s="261"/>
      <c r="P41" s="51"/>
      <c r="Q41" s="18"/>
    </row>
    <row r="42" spans="1:17" ht="15">
      <c r="A42" s="18"/>
      <c r="B42" s="18"/>
      <c r="C42" s="52"/>
      <c r="D42" s="53"/>
      <c r="E42" s="53"/>
      <c r="F42" s="54"/>
      <c r="H42" s="55"/>
      <c r="I42" s="56"/>
      <c r="J42" s="57"/>
      <c r="K42" s="58"/>
      <c r="L42" s="59"/>
      <c r="M42" s="55"/>
      <c r="N42" s="60"/>
      <c r="O42" s="60"/>
      <c r="P42" s="60"/>
      <c r="Q42" s="18"/>
    </row>
    <row r="43" spans="1:17" ht="18">
      <c r="A43" s="18"/>
      <c r="B43" s="111">
        <f>IF($K$18&gt;B40,B40+1," ")</f>
        <v>5</v>
      </c>
      <c r="C43" s="52"/>
      <c r="D43" s="61" t="s">
        <v>297</v>
      </c>
      <c r="E43" s="61"/>
      <c r="F43" s="289"/>
      <c r="G43" s="55"/>
      <c r="H43" s="262" t="s">
        <v>98</v>
      </c>
      <c r="I43" s="263"/>
      <c r="J43" s="264"/>
      <c r="K43" s="265"/>
      <c r="L43" s="265"/>
      <c r="M43" s="266"/>
      <c r="N43" s="60"/>
      <c r="O43" s="60"/>
      <c r="P43" s="60"/>
      <c r="Q43" s="18"/>
    </row>
    <row r="44" spans="1:17" ht="12.75">
      <c r="A44" s="18"/>
      <c r="B44" s="111">
        <f>B43</f>
        <v>5</v>
      </c>
      <c r="C44" s="18"/>
      <c r="D44" s="23" t="s">
        <v>100</v>
      </c>
      <c r="E44" s="23" t="s">
        <v>34</v>
      </c>
      <c r="H44" s="535"/>
      <c r="I44" s="536"/>
      <c r="J44" s="536"/>
      <c r="K44" s="536"/>
      <c r="L44" s="536"/>
      <c r="M44" s="537"/>
      <c r="N44" s="18"/>
      <c r="O44" s="18"/>
      <c r="P44" s="18"/>
      <c r="Q44" s="18"/>
    </row>
    <row r="45" spans="1:17" ht="12.75">
      <c r="A45" s="18"/>
      <c r="B45" s="187"/>
      <c r="C45" s="18"/>
      <c r="D45" s="13" t="s">
        <v>101</v>
      </c>
      <c r="E45" s="13">
        <v>1</v>
      </c>
      <c r="H45" s="538"/>
      <c r="I45" s="536"/>
      <c r="J45" s="536"/>
      <c r="K45" s="536"/>
      <c r="L45" s="536"/>
      <c r="M45" s="537"/>
      <c r="N45" s="18"/>
      <c r="O45" s="18"/>
      <c r="P45" s="18"/>
      <c r="Q45" s="18"/>
    </row>
    <row r="46" spans="1:17" ht="12.75">
      <c r="A46" s="18"/>
      <c r="B46" s="111">
        <f>IF($K$18&gt;B44,B44+1,"")</f>
        <v>6</v>
      </c>
      <c r="C46" s="18"/>
      <c r="D46" s="23" t="s">
        <v>102</v>
      </c>
      <c r="E46" s="23">
        <v>2</v>
      </c>
      <c r="H46" s="538"/>
      <c r="I46" s="536"/>
      <c r="J46" s="536"/>
      <c r="K46" s="536"/>
      <c r="L46" s="536"/>
      <c r="M46" s="537"/>
      <c r="N46" s="18"/>
      <c r="O46" s="18"/>
      <c r="P46" s="18"/>
      <c r="Q46" s="18"/>
    </row>
    <row r="47" spans="1:17" ht="12.75">
      <c r="A47" s="18"/>
      <c r="B47" s="111">
        <f>B46</f>
        <v>6</v>
      </c>
      <c r="C47" s="18"/>
      <c r="D47" s="48" t="s">
        <v>103</v>
      </c>
      <c r="E47" s="48">
        <v>3</v>
      </c>
      <c r="H47" s="539"/>
      <c r="I47" s="540"/>
      <c r="J47" s="540"/>
      <c r="K47" s="540"/>
      <c r="L47" s="540"/>
      <c r="M47" s="541"/>
      <c r="N47" s="18"/>
      <c r="O47" s="18"/>
      <c r="P47" s="18"/>
      <c r="Q47" s="18"/>
    </row>
    <row r="48" spans="1:17" ht="12.75">
      <c r="A48" s="18"/>
      <c r="B48" s="18"/>
      <c r="C48" s="18"/>
      <c r="D48" s="23" t="s">
        <v>104</v>
      </c>
      <c r="E48" s="23">
        <v>4</v>
      </c>
      <c r="H48" s="18"/>
      <c r="I48" s="18"/>
      <c r="J48" s="18"/>
      <c r="K48" s="18"/>
      <c r="L48" s="18"/>
      <c r="M48" s="18"/>
      <c r="N48" s="18"/>
      <c r="O48" s="18"/>
      <c r="P48" s="18"/>
      <c r="Q48" s="18"/>
    </row>
    <row r="49" spans="1:17" ht="12.75">
      <c r="A49" s="18"/>
      <c r="B49" s="111">
        <f>IF($K$18&gt;B47,B47+1," ")</f>
        <v>7</v>
      </c>
      <c r="C49" s="18"/>
      <c r="D49" s="48" t="s">
        <v>105</v>
      </c>
      <c r="E49" s="48">
        <v>5</v>
      </c>
      <c r="H49" s="18"/>
      <c r="I49" s="18"/>
      <c r="J49" s="18"/>
      <c r="K49" s="18"/>
      <c r="L49" s="18"/>
      <c r="M49" s="18"/>
      <c r="N49" s="18"/>
      <c r="O49" s="18"/>
      <c r="P49" s="18"/>
      <c r="Q49" s="18"/>
    </row>
    <row r="50" spans="1:17" ht="12.75">
      <c r="A50" s="18"/>
      <c r="B50" s="111">
        <f>B49</f>
        <v>7</v>
      </c>
      <c r="C50" s="18"/>
      <c r="D50" s="23" t="s">
        <v>106</v>
      </c>
      <c r="E50" s="23">
        <v>6</v>
      </c>
      <c r="H50" s="18"/>
      <c r="I50" s="18"/>
      <c r="J50" s="18"/>
      <c r="K50" s="476" t="s">
        <v>107</v>
      </c>
      <c r="L50" s="476"/>
      <c r="M50" s="476"/>
      <c r="N50" s="18"/>
      <c r="O50" s="18"/>
      <c r="P50" s="18"/>
      <c r="Q50" s="18"/>
    </row>
    <row r="51" spans="1:17" ht="13.5" customHeight="1" thickBot="1">
      <c r="A51" s="18"/>
      <c r="B51" s="18"/>
      <c r="C51" s="18"/>
      <c r="D51" s="63" t="s">
        <v>298</v>
      </c>
      <c r="H51" s="18"/>
      <c r="I51" s="18"/>
      <c r="J51" s="18"/>
      <c r="K51" s="476"/>
      <c r="L51" s="477"/>
      <c r="M51" s="477"/>
      <c r="N51" s="18"/>
      <c r="O51" s="18"/>
      <c r="P51" s="18"/>
      <c r="Q51" s="18"/>
    </row>
    <row r="52" spans="1:17" ht="13.5" customHeight="1" thickTop="1">
      <c r="A52" s="18"/>
      <c r="B52" s="18"/>
      <c r="C52" s="18"/>
      <c r="D52" s="99" t="s">
        <v>123</v>
      </c>
      <c r="E52" s="99"/>
      <c r="F52" s="111"/>
      <c r="G52" s="111"/>
      <c r="H52" s="18"/>
      <c r="I52" s="18"/>
      <c r="J52" s="18"/>
      <c r="K52" s="18"/>
      <c r="L52" s="18"/>
      <c r="M52" s="18"/>
      <c r="N52" s="18"/>
      <c r="O52" s="18"/>
      <c r="P52" s="18"/>
      <c r="Q52" s="18"/>
    </row>
    <row r="53" spans="1:17" ht="12.75">
      <c r="A53" s="18"/>
      <c r="B53" s="18"/>
      <c r="C53" s="18"/>
      <c r="D53" s="18"/>
      <c r="E53" s="18"/>
      <c r="F53" s="18"/>
      <c r="G53" s="18"/>
      <c r="H53" s="18"/>
      <c r="I53" s="18"/>
      <c r="J53" s="18"/>
      <c r="K53" s="18"/>
      <c r="L53" s="18"/>
      <c r="M53" s="18"/>
      <c r="N53" s="18"/>
      <c r="O53" s="18"/>
      <c r="P53" s="18"/>
      <c r="Q53" s="18"/>
    </row>
    <row r="54" spans="1:17" ht="12.75">
      <c r="A54" s="18"/>
      <c r="B54" s="18"/>
      <c r="C54" s="18"/>
      <c r="D54" s="18"/>
      <c r="E54" s="18"/>
      <c r="F54" s="18"/>
      <c r="G54" s="18"/>
      <c r="H54" s="18"/>
      <c r="I54" s="18"/>
      <c r="J54" s="18"/>
      <c r="K54" s="18"/>
      <c r="L54" s="18"/>
      <c r="M54" s="18"/>
      <c r="N54" s="18"/>
      <c r="O54" s="18"/>
      <c r="P54" s="18"/>
      <c r="Q54" s="18"/>
    </row>
    <row r="55" spans="1:7" ht="18">
      <c r="A55" s="18"/>
      <c r="G55" s="64"/>
    </row>
    <row r="56" spans="1:7" ht="12.75">
      <c r="A56" s="18"/>
      <c r="G56" s="53"/>
    </row>
    <row r="57" spans="1:7" ht="12.75">
      <c r="A57" s="18"/>
      <c r="G57" s="53"/>
    </row>
    <row r="58" spans="1:7" ht="12.75" hidden="1">
      <c r="A58" s="18"/>
      <c r="G58" s="53"/>
    </row>
    <row r="59" spans="1:7" ht="12.75" hidden="1">
      <c r="A59" s="18"/>
      <c r="G59" s="53"/>
    </row>
    <row r="60" spans="1:28" ht="12.75" hidden="1">
      <c r="A60" s="18"/>
      <c r="G60" s="53"/>
      <c r="AA60" s="65" t="s">
        <v>285</v>
      </c>
      <c r="AB60" s="65" t="s">
        <v>287</v>
      </c>
    </row>
    <row r="61" spans="1:36" ht="15" hidden="1">
      <c r="A61" s="18"/>
      <c r="G61" s="53"/>
      <c r="S61" t="s">
        <v>8</v>
      </c>
      <c r="T61" t="s">
        <v>9</v>
      </c>
      <c r="V61" t="s">
        <v>48</v>
      </c>
      <c r="X61" s="7" t="s">
        <v>37</v>
      </c>
      <c r="Y61" s="7" t="s">
        <v>86</v>
      </c>
      <c r="Z61" s="20" t="s">
        <v>32</v>
      </c>
      <c r="AA61" s="65" t="s">
        <v>286</v>
      </c>
      <c r="AB61" s="65" t="s">
        <v>288</v>
      </c>
      <c r="AD61" s="286" t="s">
        <v>284</v>
      </c>
      <c r="AE61" s="286" t="s">
        <v>291</v>
      </c>
      <c r="AF61" s="286" t="s">
        <v>292</v>
      </c>
      <c r="AG61" s="287" t="s">
        <v>293</v>
      </c>
      <c r="AH61" s="287" t="s">
        <v>294</v>
      </c>
      <c r="AI61" s="287" t="s">
        <v>295</v>
      </c>
      <c r="AJ61" s="287"/>
    </row>
    <row r="62" spans="1:38" ht="15" hidden="1">
      <c r="A62" s="18"/>
      <c r="G62" s="53"/>
      <c r="S62">
        <v>0.1</v>
      </c>
      <c r="T62">
        <v>0</v>
      </c>
      <c r="V62" s="7">
        <f aca="true" t="shared" si="2" ref="V62:V71">IF(J8&lt;L8,1,IF(J8=L8,0,IF(J8&gt;L8,-1,"NOT")))</f>
        <v>1</v>
      </c>
      <c r="X62" s="7" t="s">
        <v>88</v>
      </c>
      <c r="Y62" s="7" t="str">
        <f>VLOOKUP(10000000,$AJ$81:$AK$88,2)</f>
        <v>Lane 3</v>
      </c>
      <c r="Z62" s="65">
        <f>VLOOKUP(Y62,$AG$81:$AJ$88,4)</f>
        <v>4003.878955602646</v>
      </c>
      <c r="AA62" s="65" t="s">
        <v>289</v>
      </c>
      <c r="AB62" s="65">
        <f>IF(L18&gt;5.5,2,1)</f>
        <v>1</v>
      </c>
      <c r="AD62" s="286">
        <v>1</v>
      </c>
      <c r="AE62" s="286">
        <f>IF(OR(AA63=1,(AND(L18=6,AA67=1))),1,0)</f>
        <v>1</v>
      </c>
      <c r="AF62" s="286">
        <f>'random numbers'!$B$50</f>
        <v>0.9620345830917358</v>
      </c>
      <c r="AG62" s="287">
        <f aca="true" t="shared" si="3" ref="AG62:AG67">IF(AF62&lt;0.5,0.1,0.2)</f>
        <v>0.2</v>
      </c>
      <c r="AH62" s="287"/>
      <c r="AI62" s="287">
        <f>+C25+AG62</f>
        <v>4.2</v>
      </c>
      <c r="AJ62" s="287" t="str">
        <f aca="true" t="shared" si="4" ref="AJ62:AJ67">IF(AE62,CONCATENATE(AI62," LJD"),"")</f>
        <v>4.2 LJD</v>
      </c>
      <c r="AK62" t="str">
        <f>IF('random numbers'!$B$60&gt;0.5,"L","R")</f>
        <v>R</v>
      </c>
      <c r="AL62" t="str">
        <f aca="true" t="shared" si="5" ref="AL62:AL67">IF(AE62=1,CONCATENATE(AI62,"L","  ",AI62,"R","  ","test comp to  ",AI62,AK62),"")</f>
        <v>4.2L  4.2R  test comp to  4.2R</v>
      </c>
    </row>
    <row r="63" spans="1:38" ht="15" hidden="1">
      <c r="A63" s="18"/>
      <c r="S63">
        <v>1</v>
      </c>
      <c r="T63">
        <v>1</v>
      </c>
      <c r="V63" s="7">
        <f t="shared" si="2"/>
        <v>1</v>
      </c>
      <c r="X63" s="7" t="s">
        <v>89</v>
      </c>
      <c r="Y63" s="7" t="str">
        <f>VLOOKUP(10000000,$AN$81:$AO$88,2)</f>
        <v>Lane 2</v>
      </c>
      <c r="Z63" s="65">
        <f>VLOOKUP(Y63,$AK$81:$AN$88,4)</f>
        <v>1827.3916611671448</v>
      </c>
      <c r="AA63" s="65">
        <f>+ROUND(('random numbers'!$B$170)*L18+0.5,0)</f>
        <v>1</v>
      </c>
      <c r="AD63" s="286">
        <v>2</v>
      </c>
      <c r="AE63" s="286">
        <f>IF(OR(AA63=2,(AND(L18=6,AA67=2))),1,0)</f>
        <v>0</v>
      </c>
      <c r="AF63" s="286">
        <f>'random numbers'!$B$51</f>
        <v>0.20366007089614868</v>
      </c>
      <c r="AG63" s="287">
        <f t="shared" si="3"/>
        <v>0.1</v>
      </c>
      <c r="AH63" s="287"/>
      <c r="AI63" s="287">
        <f>+C28+AG63</f>
        <v>5.1</v>
      </c>
      <c r="AJ63" s="287">
        <f t="shared" si="4"/>
      </c>
      <c r="AK63" t="str">
        <f>IF('random numbers'!$B$61&gt;0.5,"L","R")</f>
        <v>L</v>
      </c>
      <c r="AL63">
        <f t="shared" si="5"/>
      </c>
    </row>
    <row r="64" spans="1:38" ht="15" hidden="1">
      <c r="A64" s="18"/>
      <c r="S64">
        <v>546</v>
      </c>
      <c r="T64">
        <v>2</v>
      </c>
      <c r="V64" s="7">
        <f t="shared" si="2"/>
        <v>1</v>
      </c>
      <c r="X64" s="7" t="s">
        <v>90</v>
      </c>
      <c r="Y64" s="7" t="str">
        <f>IF($L$18&lt;2,"",VLOOKUP(10000000,$AJ$92:$AK$99,2))</f>
        <v>Lane 6</v>
      </c>
      <c r="Z64" s="65">
        <f>IF(Y64="","",VLOOKUP(Y64,$AG$92:$AJ$99,4))</f>
        <v>9600.774962425232</v>
      </c>
      <c r="AA64" s="65" t="s">
        <v>290</v>
      </c>
      <c r="AD64" s="286">
        <v>3</v>
      </c>
      <c r="AE64" s="286">
        <f>IF(OR(AA63=3,(AND(L18=6,AA67=3))),1,0)</f>
        <v>0</v>
      </c>
      <c r="AF64" s="286">
        <f>'random numbers'!$B$52</f>
        <v>0.47878360748291016</v>
      </c>
      <c r="AG64" s="287">
        <f t="shared" si="3"/>
        <v>0.1</v>
      </c>
      <c r="AH64" s="287"/>
      <c r="AI64" s="287">
        <f>+C31+AG64</f>
        <v>6.1</v>
      </c>
      <c r="AJ64" s="287">
        <f t="shared" si="4"/>
      </c>
      <c r="AK64" t="str">
        <f>IF('random numbers'!$B$62&gt;0.5,"L","R")</f>
        <v>L</v>
      </c>
      <c r="AL64">
        <f t="shared" si="5"/>
      </c>
    </row>
    <row r="65" spans="1:38" ht="15" hidden="1">
      <c r="A65" s="18"/>
      <c r="S65">
        <v>911</v>
      </c>
      <c r="T65">
        <v>3</v>
      </c>
      <c r="V65" s="7">
        <f t="shared" si="2"/>
        <v>1</v>
      </c>
      <c r="X65" s="7" t="s">
        <v>6</v>
      </c>
      <c r="Y65" s="7" t="str">
        <f>IF($L$18&lt;2,"",VLOOKUP(10000000,$AN$92:$AO$99,2))</f>
        <v>Lane 7</v>
      </c>
      <c r="Z65" s="65">
        <f>IF(Y65="","",VLOOKUP(Y65,$AK$92:$AN$99,4))</f>
        <v>11288.703640699387</v>
      </c>
      <c r="AA65" s="65">
        <f>+ROUND(('random numbers'!$B$171)*L18+0.5,0)</f>
        <v>2</v>
      </c>
      <c r="AD65" s="286">
        <v>4</v>
      </c>
      <c r="AE65" s="286">
        <f>IF(OR(AA63=4,(AND(L18=6,AA67=4))),1,0)</f>
        <v>0</v>
      </c>
      <c r="AF65" s="286">
        <f>'random numbers'!$B$53</f>
        <v>0.12225455045700073</v>
      </c>
      <c r="AG65" s="287">
        <f t="shared" si="3"/>
        <v>0.1</v>
      </c>
      <c r="AH65" s="287"/>
      <c r="AI65" s="287" t="e">
        <f>+C34+AG65</f>
        <v>#VALUE!</v>
      </c>
      <c r="AJ65" s="287">
        <f t="shared" si="4"/>
      </c>
      <c r="AK65" t="str">
        <f>IF('random numbers'!$B$63&gt;0.5,"L","R")</f>
        <v>R</v>
      </c>
      <c r="AL65">
        <f t="shared" si="5"/>
      </c>
    </row>
    <row r="66" spans="1:38" ht="15" hidden="1">
      <c r="A66" s="18"/>
      <c r="S66">
        <v>1456</v>
      </c>
      <c r="T66">
        <v>4</v>
      </c>
      <c r="V66" s="7">
        <f t="shared" si="2"/>
        <v>1</v>
      </c>
      <c r="X66" s="7" t="s">
        <v>91</v>
      </c>
      <c r="Y66" s="7" t="str">
        <f>IF($L$18&lt;3,"",VLOOKUP(10000000,$AJ$103:$AK$110,2))</f>
        <v>Lane 8</v>
      </c>
      <c r="Z66" s="65">
        <f>IF(Y66="","",VLOOKUP(Y66,$AG$103:$AJ$110,4))</f>
        <v>13598.889846086502</v>
      </c>
      <c r="AA66" s="65">
        <f>IF(AA63=AA65,AA65+1,AA65)</f>
        <v>2</v>
      </c>
      <c r="AD66" s="286">
        <v>5</v>
      </c>
      <c r="AE66" s="286">
        <f>IF(OR(AA63=5,(AND(L18=6,AA67=5))),1,0)</f>
        <v>0</v>
      </c>
      <c r="AF66" s="286">
        <f>'random numbers'!$B$54</f>
        <v>0.4574209451675415</v>
      </c>
      <c r="AG66" s="287">
        <f t="shared" si="3"/>
        <v>0.1</v>
      </c>
      <c r="AH66" s="287"/>
      <c r="AI66" s="287" t="e">
        <f>+C37+AG66</f>
        <v>#VALUE!</v>
      </c>
      <c r="AJ66" s="287">
        <f t="shared" si="4"/>
      </c>
      <c r="AK66" t="str">
        <f>IF('random numbers'!$B$64&gt;0.5,"L","R")</f>
        <v>L</v>
      </c>
      <c r="AL66">
        <f t="shared" si="5"/>
      </c>
    </row>
    <row r="67" spans="1:38" ht="15" hidden="1">
      <c r="A67" s="18"/>
      <c r="S67">
        <v>3276</v>
      </c>
      <c r="T67">
        <v>5</v>
      </c>
      <c r="V67" s="7">
        <f t="shared" si="2"/>
        <v>1</v>
      </c>
      <c r="X67" s="7" t="s">
        <v>92</v>
      </c>
      <c r="Y67" s="7" t="str">
        <f>IF($L$18&lt;3,"",VLOOKUP(10000000,$AN$103:$AO$110,2))</f>
        <v>Lane 8</v>
      </c>
      <c r="Z67" s="65">
        <f>IF(Y67="","",VLOOKUP(Y67,$AK$103:$AN$110,4))</f>
        <v>13358.358989715576</v>
      </c>
      <c r="AA67" s="65">
        <f>IF(AA66&gt;L18,1,AA66)</f>
        <v>2</v>
      </c>
      <c r="AD67" s="286">
        <v>6</v>
      </c>
      <c r="AE67" s="286">
        <f>IF(OR(AA63=6,(AND(L18=6,AA67=6))),1,0)</f>
        <v>0</v>
      </c>
      <c r="AF67" s="286">
        <f>'random numbers'!$B$55</f>
        <v>0.1863425374031067</v>
      </c>
      <c r="AG67" s="287">
        <f t="shared" si="3"/>
        <v>0.1</v>
      </c>
      <c r="AH67" s="287"/>
      <c r="AI67" s="287" t="e">
        <f>+C40+AG67</f>
        <v>#VALUE!</v>
      </c>
      <c r="AJ67" s="287">
        <f t="shared" si="4"/>
      </c>
      <c r="AK67" t="str">
        <f>IF('random numbers'!$B$65&gt;0.5,"L","R")</f>
        <v>L</v>
      </c>
      <c r="AL67">
        <f t="shared" si="5"/>
      </c>
    </row>
    <row r="68" spans="19:26" ht="12.75" hidden="1">
      <c r="S68">
        <v>4546</v>
      </c>
      <c r="T68">
        <v>6</v>
      </c>
      <c r="V68" s="7">
        <f t="shared" si="2"/>
        <v>1</v>
      </c>
      <c r="X68" s="7" t="s">
        <v>93</v>
      </c>
      <c r="Y68" s="7">
        <f>IF($L$18&lt;4,"",VLOOKUP(10000000,$AJ$114:$AK$121,2))</f>
      </c>
      <c r="Z68" s="65">
        <f>IF(Y68="","",VLOOKUP(Y68,$AG$114:$AJ$121,4))</f>
      </c>
    </row>
    <row r="69" spans="22:26" ht="12.75" hidden="1">
      <c r="V69" s="7">
        <f t="shared" si="2"/>
        <v>1</v>
      </c>
      <c r="X69" s="7" t="s">
        <v>94</v>
      </c>
      <c r="Y69" s="7">
        <f>IF($L$18&lt;4,"",VLOOKUP(10000000,$AN$114:$AO$121,2))</f>
      </c>
      <c r="Z69" s="65">
        <f>IF(Y69="","",VLOOKUP(Y69,$AK$114:$AN$121,4))</f>
      </c>
    </row>
    <row r="70" spans="22:26" ht="12.75" hidden="1">
      <c r="V70" s="7">
        <f t="shared" si="2"/>
        <v>1</v>
      </c>
      <c r="X70" s="7" t="s">
        <v>7</v>
      </c>
      <c r="Y70" s="7">
        <f>IF($L$18&lt;5,"",VLOOKUP(10000000,$AJ$125:$AK$132,2))</f>
      </c>
      <c r="Z70" s="65">
        <f>IF(Y70="","",VLOOKUP(Y70,$AG$125:$AJ$132,4))</f>
      </c>
    </row>
    <row r="71" spans="22:26" ht="12.75" hidden="1">
      <c r="V71" s="7">
        <f t="shared" si="2"/>
        <v>1</v>
      </c>
      <c r="X71" s="7" t="s">
        <v>95</v>
      </c>
      <c r="Y71" s="7">
        <f>IF($L$18&lt;5,"",VLOOKUP(10000000,$AN$125:$AO$132,2))</f>
      </c>
      <c r="Z71" s="65">
        <f>IF(Y71="","",VLOOKUP(Y71,$AK$125:$AN$132,4))</f>
      </c>
    </row>
    <row r="72" spans="24:26" ht="12.75" hidden="1">
      <c r="X72" s="7" t="s">
        <v>96</v>
      </c>
      <c r="Y72" s="7">
        <f>IF($L$18&lt;6,"",VLOOKUP(10000000,$AJ$136:$AK$143,2))</f>
      </c>
      <c r="Z72" s="65">
        <f>IF(Y72="","",VLOOKUP(Y72,$AG$136:$AJ$143,4))</f>
      </c>
    </row>
    <row r="73" spans="24:26" ht="12.75" hidden="1">
      <c r="X73" s="7" t="s">
        <v>97</v>
      </c>
      <c r="Y73" s="7">
        <f>IF($L$18&lt;6,"",VLOOKUP(10000000,$AN$136:$AO$143,2))</f>
      </c>
      <c r="Z73" s="65">
        <f>IF(Y73="","",VLOOKUP(Y73,$AK$136:$AN$143,4))</f>
      </c>
    </row>
    <row r="74" ht="12.75" hidden="1"/>
    <row r="75" ht="12.75" hidden="1"/>
    <row r="76" spans="24:36" ht="12.75" hidden="1">
      <c r="X76" s="7"/>
      <c r="Y76" s="7"/>
      <c r="AH76" s="467" t="s">
        <v>24</v>
      </c>
      <c r="AI76" s="467"/>
      <c r="AJ76" s="467"/>
    </row>
    <row r="77" spans="24:43" ht="12.75" hidden="1">
      <c r="X77" s="7"/>
      <c r="Y77" s="7"/>
      <c r="AH77" s="467"/>
      <c r="AI77" s="467"/>
      <c r="AJ77" s="467"/>
      <c r="AL77" s="467" t="s">
        <v>25</v>
      </c>
      <c r="AM77" s="467"/>
      <c r="AN77" s="467"/>
      <c r="AQ77" s="279" t="s">
        <v>281</v>
      </c>
    </row>
    <row r="78" spans="24:43" ht="12.75" hidden="1">
      <c r="X78" s="7"/>
      <c r="Y78" s="7"/>
      <c r="Z78" s="7" t="s">
        <v>27</v>
      </c>
      <c r="AA78" s="20" t="s">
        <v>28</v>
      </c>
      <c r="AB78" s="20" t="s">
        <v>29</v>
      </c>
      <c r="AC78" s="7" t="s">
        <v>30</v>
      </c>
      <c r="AF78" s="7" t="s">
        <v>30</v>
      </c>
      <c r="AH78" s="7"/>
      <c r="AI78" s="7" t="s">
        <v>31</v>
      </c>
      <c r="AJ78" s="20" t="s">
        <v>32</v>
      </c>
      <c r="AL78" s="7"/>
      <c r="AM78" s="7" t="s">
        <v>31</v>
      </c>
      <c r="AN78" s="20" t="s">
        <v>32</v>
      </c>
      <c r="AQ78" s="279" t="s">
        <v>282</v>
      </c>
    </row>
    <row r="79" spans="24:43" ht="12.75" hidden="1">
      <c r="X79" s="7"/>
      <c r="Y79" s="7"/>
      <c r="Z79" s="7" t="s">
        <v>34</v>
      </c>
      <c r="AA79" s="20" t="s">
        <v>34</v>
      </c>
      <c r="AB79" s="20" t="s">
        <v>34</v>
      </c>
      <c r="AC79" s="7" t="s">
        <v>35</v>
      </c>
      <c r="AF79" s="7" t="s">
        <v>36</v>
      </c>
      <c r="AH79" s="7" t="s">
        <v>37</v>
      </c>
      <c r="AI79" s="7" t="s">
        <v>35</v>
      </c>
      <c r="AJ79" s="20" t="s">
        <v>38</v>
      </c>
      <c r="AL79" s="7" t="s">
        <v>37</v>
      </c>
      <c r="AM79" s="7" t="s">
        <v>35</v>
      </c>
      <c r="AN79" s="20" t="s">
        <v>38</v>
      </c>
      <c r="AQ79" s="279" t="s">
        <v>283</v>
      </c>
    </row>
    <row r="80" spans="24:43" ht="12.75" hidden="1">
      <c r="X80" s="7" t="s">
        <v>34</v>
      </c>
      <c r="Y80" s="7" t="s">
        <v>42</v>
      </c>
      <c r="Z80" s="7" t="s">
        <v>30</v>
      </c>
      <c r="AA80" s="20" t="s">
        <v>32</v>
      </c>
      <c r="AB80" s="20" t="s">
        <v>32</v>
      </c>
      <c r="AC80" s="7" t="s">
        <v>42</v>
      </c>
      <c r="AF80" s="7" t="s">
        <v>42</v>
      </c>
      <c r="AG80" s="7" t="s">
        <v>42</v>
      </c>
      <c r="AH80" s="7" t="s">
        <v>43</v>
      </c>
      <c r="AI80" s="7" t="s">
        <v>42</v>
      </c>
      <c r="AJ80" s="20" t="s">
        <v>37</v>
      </c>
      <c r="AK80" s="7" t="s">
        <v>42</v>
      </c>
      <c r="AL80" s="7" t="s">
        <v>43</v>
      </c>
      <c r="AM80" s="7" t="s">
        <v>42</v>
      </c>
      <c r="AN80" s="20" t="s">
        <v>37</v>
      </c>
      <c r="AO80" s="7" t="s">
        <v>42</v>
      </c>
      <c r="AQ80" s="279" t="s">
        <v>284</v>
      </c>
    </row>
    <row r="81" spans="24:44" ht="12.75" hidden="1">
      <c r="X81" s="7">
        <v>1</v>
      </c>
      <c r="Y81" s="7">
        <v>1</v>
      </c>
      <c r="Z81" s="12">
        <f>$L$19</f>
        <v>2612</v>
      </c>
      <c r="AA81" s="65">
        <f>J8</f>
        <v>1231</v>
      </c>
      <c r="AB81" s="65">
        <f>IF($L$19&lt;=N8,J8+$L$19*V62,L8)</f>
        <v>1451</v>
      </c>
      <c r="AC81" s="12">
        <f aca="true" t="shared" si="6" ref="AC81:AC86">ABS(AB81-AA81)</f>
        <v>220</v>
      </c>
      <c r="AD81" t="str">
        <f>IF(N8=0,"",IF(ROUND(AC81-$N$8,0)=0,"LOT 1",IF(Z81=0,"",IF(AB81-AA81&lt;N8,"PARTIAL","NOT"))))</f>
        <v>LOT 1</v>
      </c>
      <c r="AF81" s="12">
        <f aca="true" t="shared" si="7" ref="AF81:AF90">IF(Z81="",0,N8-AC81)</f>
        <v>0</v>
      </c>
      <c r="AG81" s="7" t="s">
        <v>46</v>
      </c>
      <c r="AH81" s="12">
        <f>J24</f>
        <v>1447.8789556026459</v>
      </c>
      <c r="AI81" s="12">
        <f>IF(AC81&gt;=AH81,AH81,AC81)</f>
        <v>220</v>
      </c>
      <c r="AJ81" s="65">
        <f>IF(AI81=AC81,"",AA81+AI81*V62)</f>
      </c>
      <c r="AK81" s="7" t="s">
        <v>46</v>
      </c>
      <c r="AL81" s="12">
        <f>J25</f>
        <v>471.3916611671448</v>
      </c>
      <c r="AM81" s="12">
        <f>IF(AC81&gt;=AL81,AL81,AC81)</f>
        <v>220</v>
      </c>
      <c r="AN81" s="65">
        <f>IF(AM81=AC81,"",AA81+AM81*V62)</f>
      </c>
      <c r="AO81" s="7" t="s">
        <v>46</v>
      </c>
      <c r="AR81" s="18"/>
    </row>
    <row r="82" spans="24:45" ht="12.75" hidden="1">
      <c r="X82" s="7"/>
      <c r="Y82" s="7">
        <v>2</v>
      </c>
      <c r="Z82" s="12">
        <f aca="true" t="shared" si="8" ref="Z82:Z90">IF(ROUND(N9,0)=0,"",Z81-ABS(AB81-AA81))</f>
        <v>2392</v>
      </c>
      <c r="AA82" s="65">
        <f aca="true" t="shared" si="9" ref="AA82:AA90">IF(Z82&lt;0.5,0,J9)</f>
        <v>1576</v>
      </c>
      <c r="AB82" s="65">
        <f aca="true" t="shared" si="10" ref="AB82:AB90">IF(Z82&lt;0.5,0,IF(Z82&lt;=N9,J9+Z82*V63,L9))</f>
        <v>2000</v>
      </c>
      <c r="AC82" s="12">
        <f t="shared" si="6"/>
        <v>424</v>
      </c>
      <c r="AD82" t="str">
        <f>IF(N9=0,"",IF(ROUND(AC82-N9,0)=0,"LOT 1",IF(Z82&lt;0.5,"",IF(AB82-AA82&lt;$N$9+0.5,"PARTIAL","NOT"))))</f>
        <v>LOT 1</v>
      </c>
      <c r="AF82" s="12">
        <f t="shared" si="7"/>
        <v>0</v>
      </c>
      <c r="AG82" s="7" t="s">
        <v>49</v>
      </c>
      <c r="AH82" s="12">
        <f>IF(AC82=0,"",IF(AJ81="",AH81-AI81,""))</f>
        <v>1227.8789556026459</v>
      </c>
      <c r="AI82" s="12">
        <f aca="true" t="shared" si="11" ref="AI82:AI90">IF(AH82="","",IF(AC82&gt;=AH82,AH82,AC82))</f>
        <v>424</v>
      </c>
      <c r="AJ82" s="65">
        <f aca="true" t="shared" si="12" ref="AJ82:AJ90">IF(AH82="","",IF(ROUND(AI82-AH82,0)=0,AA82+AI82*V63,IF(AI82=AC82,"",AA82+AI82*V63)))</f>
      </c>
      <c r="AK82" s="7" t="s">
        <v>49</v>
      </c>
      <c r="AL82" s="12">
        <f aca="true" t="shared" si="13" ref="AL82:AL90">IF(AL81="","",IF(AC82=0,"",IF(AN81="",AL81-AM81,"")))</f>
        <v>251.39166116714478</v>
      </c>
      <c r="AM82" s="12">
        <f aca="true" t="shared" si="14" ref="AM82:AM90">IF(AL82="","",IF(AC82&gt;=AL82,AL82,AC82))</f>
        <v>251.39166116714478</v>
      </c>
      <c r="AN82" s="65">
        <f aca="true" t="shared" si="15" ref="AN82:AN90">IF(AL82="","",IF(ROUND(AM82-AL82,0)=0,AA82+AM82*V63,IF(AM82=AC82,"",AA82+AM82*V63)))</f>
        <v>1827.3916611671448</v>
      </c>
      <c r="AO82" s="7" t="s">
        <v>49</v>
      </c>
      <c r="AR82" s="18"/>
      <c r="AS82">
        <v>1</v>
      </c>
    </row>
    <row r="83" spans="24:47" ht="12.75" hidden="1">
      <c r="X83" s="7"/>
      <c r="Y83" s="7">
        <v>3</v>
      </c>
      <c r="Z83" s="12">
        <f t="shared" si="8"/>
        <v>1968</v>
      </c>
      <c r="AA83" s="65">
        <f t="shared" si="9"/>
        <v>3200</v>
      </c>
      <c r="AB83" s="65">
        <f t="shared" si="10"/>
        <v>4567</v>
      </c>
      <c r="AC83" s="12">
        <f t="shared" si="6"/>
        <v>1367</v>
      </c>
      <c r="AD83" t="str">
        <f aca="true" t="shared" si="16" ref="AD83:AD90">IF(N10=0,"",IF(ROUND(AC83-N10,0)=0,"LOT 1",IF(Z83&lt;0.5,"",IF(AB83-AA83&lt;N10,"PARTIAL","NOT"))))</f>
        <v>LOT 1</v>
      </c>
      <c r="AF83" s="12">
        <f t="shared" si="7"/>
        <v>0</v>
      </c>
      <c r="AG83" s="7" t="s">
        <v>54</v>
      </c>
      <c r="AH83" s="12">
        <f aca="true" t="shared" si="17" ref="AH83:AH90">IF(AH82="","",IF(AC83=0,"",IF(AJ82="",AH82-AI82,"")))</f>
        <v>803.8789556026459</v>
      </c>
      <c r="AI83" s="12">
        <f t="shared" si="11"/>
        <v>803.8789556026459</v>
      </c>
      <c r="AJ83" s="65">
        <f t="shared" si="12"/>
        <v>4003.878955602646</v>
      </c>
      <c r="AK83" s="7" t="s">
        <v>54</v>
      </c>
      <c r="AL83" s="12">
        <f t="shared" si="13"/>
      </c>
      <c r="AM83" s="12">
        <f t="shared" si="14"/>
      </c>
      <c r="AN83" s="65">
        <f t="shared" si="15"/>
      </c>
      <c r="AO83" s="7" t="s">
        <v>54</v>
      </c>
      <c r="AS83" s="85" t="s">
        <v>55</v>
      </c>
      <c r="AU83" s="1" t="s">
        <v>153</v>
      </c>
    </row>
    <row r="84" spans="24:47" ht="12.75" hidden="1">
      <c r="X84" s="7"/>
      <c r="Y84" s="7">
        <v>4</v>
      </c>
      <c r="Z84" s="12">
        <f t="shared" si="8"/>
        <v>601</v>
      </c>
      <c r="AA84" s="65">
        <f t="shared" si="9"/>
        <v>5045</v>
      </c>
      <c r="AB84" s="65">
        <f t="shared" si="10"/>
        <v>5646</v>
      </c>
      <c r="AC84" s="12">
        <f t="shared" si="6"/>
        <v>601</v>
      </c>
      <c r="AD84" t="str">
        <f t="shared" si="16"/>
        <v>PARTIAL</v>
      </c>
      <c r="AF84" s="12">
        <f t="shared" si="7"/>
        <v>554</v>
      </c>
      <c r="AG84" s="7" t="s">
        <v>56</v>
      </c>
      <c r="AH84" s="12">
        <f t="shared" si="17"/>
      </c>
      <c r="AI84" s="12">
        <f t="shared" si="11"/>
      </c>
      <c r="AJ84" s="65">
        <f t="shared" si="12"/>
      </c>
      <c r="AK84" s="7" t="s">
        <v>56</v>
      </c>
      <c r="AL84" s="12">
        <f t="shared" si="13"/>
      </c>
      <c r="AM84" s="12">
        <f t="shared" si="14"/>
      </c>
      <c r="AN84" s="65">
        <f t="shared" si="15"/>
      </c>
      <c r="AO84" s="7" t="s">
        <v>56</v>
      </c>
      <c r="AS84" s="86" t="s">
        <v>57</v>
      </c>
      <c r="AU84" s="1" t="s">
        <v>154</v>
      </c>
    </row>
    <row r="85" spans="24:47" ht="12.75" hidden="1">
      <c r="X85" s="7"/>
      <c r="Y85" s="7">
        <v>5</v>
      </c>
      <c r="Z85" s="12">
        <f t="shared" si="8"/>
        <v>0</v>
      </c>
      <c r="AA85" s="65">
        <f t="shared" si="9"/>
        <v>0</v>
      </c>
      <c r="AB85" s="65">
        <f t="shared" si="10"/>
        <v>0</v>
      </c>
      <c r="AC85" s="12">
        <f t="shared" si="6"/>
        <v>0</v>
      </c>
      <c r="AD85">
        <f t="shared" si="16"/>
      </c>
      <c r="AF85" s="12">
        <f t="shared" si="7"/>
        <v>1000</v>
      </c>
      <c r="AG85" s="7" t="s">
        <v>58</v>
      </c>
      <c r="AH85" s="12">
        <f t="shared" si="17"/>
      </c>
      <c r="AI85" s="12">
        <f t="shared" si="11"/>
      </c>
      <c r="AJ85" s="65">
        <f t="shared" si="12"/>
      </c>
      <c r="AK85" s="7" t="s">
        <v>58</v>
      </c>
      <c r="AL85" s="12">
        <f t="shared" si="13"/>
      </c>
      <c r="AM85" s="12">
        <f t="shared" si="14"/>
      </c>
      <c r="AN85" s="65">
        <f t="shared" si="15"/>
      </c>
      <c r="AO85" s="7" t="s">
        <v>58</v>
      </c>
      <c r="AS85" s="86" t="s">
        <v>59</v>
      </c>
      <c r="AU85" s="1" t="s">
        <v>155</v>
      </c>
    </row>
    <row r="86" spans="24:47" ht="12.75" hidden="1">
      <c r="X86" s="7"/>
      <c r="Y86" s="7">
        <v>6</v>
      </c>
      <c r="Z86" s="12">
        <f t="shared" si="8"/>
        <v>0</v>
      </c>
      <c r="AA86" s="65">
        <f t="shared" si="9"/>
        <v>0</v>
      </c>
      <c r="AB86" s="65">
        <f t="shared" si="10"/>
        <v>0</v>
      </c>
      <c r="AC86" s="12">
        <f t="shared" si="6"/>
        <v>0</v>
      </c>
      <c r="AD86">
        <f t="shared" si="16"/>
      </c>
      <c r="AF86" s="12">
        <f t="shared" si="7"/>
        <v>600</v>
      </c>
      <c r="AG86" s="7" t="s">
        <v>61</v>
      </c>
      <c r="AH86" s="12">
        <f t="shared" si="17"/>
      </c>
      <c r="AI86" s="12">
        <f t="shared" si="11"/>
      </c>
      <c r="AJ86" s="65">
        <f t="shared" si="12"/>
      </c>
      <c r="AK86" s="7" t="s">
        <v>61</v>
      </c>
      <c r="AL86" s="12">
        <f t="shared" si="13"/>
      </c>
      <c r="AM86" s="12">
        <f t="shared" si="14"/>
      </c>
      <c r="AN86" s="65">
        <f t="shared" si="15"/>
      </c>
      <c r="AO86" s="7" t="s">
        <v>61</v>
      </c>
      <c r="AS86" s="86" t="s">
        <v>257</v>
      </c>
      <c r="AU86" s="1" t="s">
        <v>156</v>
      </c>
    </row>
    <row r="87" spans="24:47" ht="12.75" hidden="1">
      <c r="X87" s="7"/>
      <c r="Y87" s="7">
        <v>7</v>
      </c>
      <c r="Z87" s="12">
        <f t="shared" si="8"/>
        <v>0</v>
      </c>
      <c r="AA87" s="65">
        <f t="shared" si="9"/>
        <v>0</v>
      </c>
      <c r="AB87" s="65">
        <f t="shared" si="10"/>
        <v>0</v>
      </c>
      <c r="AC87" s="12">
        <f>ABS(AB87-AA87)</f>
        <v>0</v>
      </c>
      <c r="AD87">
        <f t="shared" si="16"/>
      </c>
      <c r="AF87" s="12">
        <f t="shared" si="7"/>
        <v>720</v>
      </c>
      <c r="AG87" s="7" t="s">
        <v>237</v>
      </c>
      <c r="AH87" s="12">
        <f t="shared" si="17"/>
      </c>
      <c r="AI87" s="12">
        <f t="shared" si="11"/>
      </c>
      <c r="AJ87" s="65">
        <f t="shared" si="12"/>
      </c>
      <c r="AK87" s="7" t="s">
        <v>237</v>
      </c>
      <c r="AL87" s="12">
        <f t="shared" si="13"/>
      </c>
      <c r="AM87" s="12">
        <f t="shared" si="14"/>
      </c>
      <c r="AN87" s="65">
        <f t="shared" si="15"/>
      </c>
      <c r="AO87" s="7" t="s">
        <v>237</v>
      </c>
      <c r="AS87" s="86" t="s">
        <v>64</v>
      </c>
      <c r="AU87" s="1" t="s">
        <v>157</v>
      </c>
    </row>
    <row r="88" spans="24:47" ht="12.75" hidden="1">
      <c r="X88" s="7"/>
      <c r="Y88" s="7">
        <v>8</v>
      </c>
      <c r="Z88" s="12">
        <f t="shared" si="8"/>
        <v>0</v>
      </c>
      <c r="AA88" s="65">
        <f t="shared" si="9"/>
        <v>0</v>
      </c>
      <c r="AB88" s="65">
        <f t="shared" si="10"/>
        <v>0</v>
      </c>
      <c r="AC88" s="12">
        <f>ABS(AB88-AA88)</f>
        <v>0</v>
      </c>
      <c r="AD88">
        <f t="shared" si="16"/>
      </c>
      <c r="AF88" s="12">
        <f t="shared" si="7"/>
        <v>750</v>
      </c>
      <c r="AG88" s="7" t="s">
        <v>238</v>
      </c>
      <c r="AH88" s="12">
        <f t="shared" si="17"/>
      </c>
      <c r="AI88" s="12">
        <f t="shared" si="11"/>
      </c>
      <c r="AJ88" s="65">
        <f t="shared" si="12"/>
      </c>
      <c r="AK88" s="7" t="s">
        <v>238</v>
      </c>
      <c r="AL88" s="12">
        <f t="shared" si="13"/>
      </c>
      <c r="AM88" s="12">
        <f t="shared" si="14"/>
      </c>
      <c r="AN88" s="65">
        <f t="shared" si="15"/>
      </c>
      <c r="AO88" s="7" t="s">
        <v>238</v>
      </c>
      <c r="AS88" s="86" t="s">
        <v>258</v>
      </c>
      <c r="AU88" s="1" t="s">
        <v>158</v>
      </c>
    </row>
    <row r="89" spans="24:47" ht="12.75" hidden="1">
      <c r="X89" s="7"/>
      <c r="Y89" s="7">
        <v>9</v>
      </c>
      <c r="Z89" s="12">
        <f t="shared" si="8"/>
        <v>0</v>
      </c>
      <c r="AA89" s="65">
        <f t="shared" si="9"/>
        <v>0</v>
      </c>
      <c r="AB89" s="65">
        <f t="shared" si="10"/>
        <v>0</v>
      </c>
      <c r="AC89" s="12">
        <f>ABS(AB89-AA89)</f>
        <v>0</v>
      </c>
      <c r="AD89">
        <f t="shared" si="16"/>
      </c>
      <c r="AF89" s="12">
        <f t="shared" si="7"/>
        <v>900</v>
      </c>
      <c r="AG89" s="7" t="s">
        <v>276</v>
      </c>
      <c r="AH89" s="12">
        <f t="shared" si="17"/>
      </c>
      <c r="AI89" s="12">
        <f t="shared" si="11"/>
      </c>
      <c r="AJ89" s="65">
        <f t="shared" si="12"/>
      </c>
      <c r="AK89" s="7" t="s">
        <v>276</v>
      </c>
      <c r="AL89" s="12">
        <f t="shared" si="13"/>
      </c>
      <c r="AM89" s="12">
        <f t="shared" si="14"/>
      </c>
      <c r="AN89" s="65">
        <f t="shared" si="15"/>
      </c>
      <c r="AO89" s="7" t="s">
        <v>276</v>
      </c>
      <c r="AS89" s="86"/>
      <c r="AU89" s="1"/>
    </row>
    <row r="90" spans="24:47" ht="12.75" hidden="1">
      <c r="X90" s="7"/>
      <c r="Y90" s="7">
        <v>10</v>
      </c>
      <c r="Z90" s="12">
        <f t="shared" si="8"/>
        <v>0</v>
      </c>
      <c r="AA90" s="65">
        <f t="shared" si="9"/>
        <v>0</v>
      </c>
      <c r="AB90" s="65">
        <f t="shared" si="10"/>
        <v>0</v>
      </c>
      <c r="AC90" s="12">
        <f>ABS(AB90-AA90)</f>
        <v>0</v>
      </c>
      <c r="AD90">
        <f t="shared" si="16"/>
      </c>
      <c r="AF90" s="12">
        <f t="shared" si="7"/>
        <v>700</v>
      </c>
      <c r="AG90" s="7" t="s">
        <v>296</v>
      </c>
      <c r="AH90" s="12">
        <f t="shared" si="17"/>
      </c>
      <c r="AI90" s="12">
        <f t="shared" si="11"/>
      </c>
      <c r="AJ90" s="65">
        <f t="shared" si="12"/>
      </c>
      <c r="AK90" s="7" t="s">
        <v>296</v>
      </c>
      <c r="AL90" s="12">
        <f t="shared" si="13"/>
      </c>
      <c r="AM90" s="12">
        <f t="shared" si="14"/>
      </c>
      <c r="AN90" s="65">
        <f t="shared" si="15"/>
      </c>
      <c r="AO90" s="7" t="s">
        <v>296</v>
      </c>
      <c r="AS90" s="86"/>
      <c r="AU90" s="1"/>
    </row>
    <row r="91" spans="24:47" ht="12.75" hidden="1">
      <c r="X91" s="7"/>
      <c r="Y91" s="7"/>
      <c r="Z91" s="12"/>
      <c r="AC91" s="12"/>
      <c r="AF91" s="12"/>
      <c r="AS91" s="86" t="s">
        <v>68</v>
      </c>
      <c r="AU91" s="1" t="s">
        <v>159</v>
      </c>
    </row>
    <row r="92" spans="24:47" ht="12.75" hidden="1">
      <c r="X92" s="7">
        <v>2</v>
      </c>
      <c r="Y92" s="7">
        <v>1</v>
      </c>
      <c r="Z92" s="12">
        <f>IF($L$18&lt;2,"",IF(ROUND(AF81,0)=0,"",$L$19))</f>
      </c>
      <c r="AA92" s="65">
        <f>IF(Z92&lt;0.5,0,IF(Z92="",0,IF(AB81=0,$J$8,AB81)))</f>
        <v>0</v>
      </c>
      <c r="AB92" s="65">
        <f aca="true" t="shared" si="18" ref="AB92:AB101">IF(Z92="",0,IF(Z92&lt;0.5,0,IF(Z92&lt;=AF81,AA92+Z92*V62,L8)))</f>
        <v>0</v>
      </c>
      <c r="AC92" s="12">
        <f aca="true" t="shared" si="19" ref="AC92:AC97">ABS(AB92-AA92)</f>
        <v>0</v>
      </c>
      <c r="AD92">
        <f>IF(N8=0,"",IF(Z92="","",IF(ROUND(AC92-N8,0)=0,"LOT 2",IF(Z92&lt;0.5,"",IF(AB92-AA92&lt;N8,"PARTIAL","NOT")))))</f>
      </c>
      <c r="AF92" s="12">
        <f>IF(Z92="",0,$N$8-AC92-AC81)</f>
        <v>0</v>
      </c>
      <c r="AG92" s="7" t="s">
        <v>46</v>
      </c>
      <c r="AH92" s="12">
        <f>IF(AC92=0,"",J27)</f>
      </c>
      <c r="AI92" s="12">
        <f>IF(AC92=0,"",IF(AC92&gt;=AH92,AH92,AC92))</f>
      </c>
      <c r="AJ92" s="65">
        <f>IF(AH92="","",IF(AI92=AC92,"",AA92+AI92*V62))</f>
      </c>
      <c r="AK92" s="7" t="s">
        <v>46</v>
      </c>
      <c r="AL92" s="12">
        <f>IF(AC92=0,"",$J$28)</f>
      </c>
      <c r="AM92" s="12">
        <f>IF(AC92=0,"",IF(AC92&gt;=AL92,AL92,AC92))</f>
      </c>
      <c r="AN92" s="65">
        <f>IF(AL92="","",IF(AM92=AC92,"",AA92+AM92*V62))</f>
      </c>
      <c r="AO92" s="7" t="s">
        <v>46</v>
      </c>
      <c r="AS92" s="86" t="s">
        <v>260</v>
      </c>
      <c r="AU92" s="1" t="s">
        <v>160</v>
      </c>
    </row>
    <row r="93" spans="24:47" ht="12.75" hidden="1">
      <c r="X93" s="7"/>
      <c r="Y93" s="7">
        <v>2</v>
      </c>
      <c r="Z93" s="12">
        <f aca="true" t="shared" si="20" ref="Z93:Z101">IF(ROUND(AF82,0)=0,"",IF(Z92="",$L$19,ABS(Z92-AC92)))</f>
      </c>
      <c r="AA93" s="65">
        <f>IF(Z93&lt;0.5,0,IF(Z93="",0,IF(AB82=0,$J$9,AB82)))</f>
        <v>0</v>
      </c>
      <c r="AB93" s="65">
        <f t="shared" si="18"/>
        <v>0</v>
      </c>
      <c r="AC93" s="12">
        <f t="shared" si="19"/>
        <v>0</v>
      </c>
      <c r="AD93">
        <f>IF(N9=0,"",IF(Z93="","",IF(ROUND(AC93-N9,0)=0,"LOT 2",IF(Z93&lt;0.5,"",IF(AB93-AA93&lt;N9,"PARTIAL","NOT")))))</f>
      </c>
      <c r="AF93" s="12">
        <f>IF(Z93="",0,$N$9-AC93-AC82)</f>
        <v>0</v>
      </c>
      <c r="AG93" s="7" t="s">
        <v>49</v>
      </c>
      <c r="AH93" s="12">
        <f>IF(AC93=0,"",IF(AI92="",$J$27,IF(AJ92="",AH92-AI92,"")))</f>
      </c>
      <c r="AI93" s="12">
        <f aca="true" t="shared" si="21" ref="AI93:AI99">IF(AH93="","",IF(AC93&gt;=AH93,AH93,AC93))</f>
      </c>
      <c r="AJ93" s="65">
        <f aca="true" t="shared" si="22" ref="AJ93:AJ101">IF(AH93="","",IF(ROUND(AI93-AH93,0)=0,AA93+AI93*V63,IF(AI93=AC93,"",AA93+AI93*V63)))</f>
      </c>
      <c r="AK93" s="7" t="s">
        <v>49</v>
      </c>
      <c r="AL93" s="12">
        <f>IF(AC93=0,"",IF(AM92="",$J$28,IF(AN92="",AL92-AM92,"")))</f>
      </c>
      <c r="AM93" s="12">
        <f aca="true" t="shared" si="23" ref="AM93:AM99">IF(AL93="","",IF(AC93&gt;=AL93,AL93,AC93))</f>
      </c>
      <c r="AN93" s="65">
        <f aca="true" t="shared" si="24" ref="AN93:AN101">IF(AL93="","",IF(ROUND(AM93-AL93,0)=0,AA93+AM93*V63,IF(AM93=AC93,"",AA93+AM93*V63)))</f>
      </c>
      <c r="AO93" s="7" t="s">
        <v>49</v>
      </c>
      <c r="AS93" s="86" t="s">
        <v>73</v>
      </c>
      <c r="AU93" s="1" t="s">
        <v>161</v>
      </c>
    </row>
    <row r="94" spans="24:47" ht="12.75" hidden="1">
      <c r="X94" s="7"/>
      <c r="Y94" s="7">
        <v>3</v>
      </c>
      <c r="Z94" s="12">
        <f t="shared" si="20"/>
      </c>
      <c r="AA94" s="65">
        <f>IF(Z94&lt;0.5,0,IF(Z94="",0,IF(AB83=0,$J$10,AB83)))</f>
        <v>0</v>
      </c>
      <c r="AB94" s="65">
        <f t="shared" si="18"/>
        <v>0</v>
      </c>
      <c r="AC94" s="12">
        <f t="shared" si="19"/>
        <v>0</v>
      </c>
      <c r="AD94">
        <f>IF(N10=0,"",IF(Z94="","",IF(ROUND(AC94-N10,0)=0,"LOT2",IF(Z94&lt;0.5,"",IF(AB94-AA94&lt;N10,"PARTIAL","NOT")))))</f>
      </c>
      <c r="AF94" s="12">
        <f>IF(Z94="",0,$N$10-AC94-AC83)</f>
        <v>0</v>
      </c>
      <c r="AG94" s="7" t="s">
        <v>54</v>
      </c>
      <c r="AH94" s="12">
        <f>IF(AC94=0,"",IF(AND(AI92="",AI93=""),$J$27,IF(AND(AJ92="",AJ93=""),AH93-AI93,"")))</f>
      </c>
      <c r="AI94" s="12">
        <f t="shared" si="21"/>
      </c>
      <c r="AJ94" s="65">
        <f t="shared" si="22"/>
      </c>
      <c r="AK94" s="7" t="s">
        <v>54</v>
      </c>
      <c r="AL94" s="12">
        <f>IF(AC94=0,"",IF(AND(AM92="",AM93=""),$J$28,IF(AND(AN92="",AN93=""),AL93-AM93,"")))</f>
      </c>
      <c r="AM94" s="12">
        <f t="shared" si="23"/>
      </c>
      <c r="AN94" s="65">
        <f t="shared" si="24"/>
      </c>
      <c r="AO94" s="7" t="s">
        <v>54</v>
      </c>
      <c r="AS94" s="86" t="s">
        <v>261</v>
      </c>
      <c r="AU94" s="1" t="s">
        <v>162</v>
      </c>
    </row>
    <row r="95" spans="22:47" ht="12.75" hidden="1">
      <c r="V95" s="7"/>
      <c r="X95" s="7"/>
      <c r="Y95" s="7">
        <v>4</v>
      </c>
      <c r="Z95" s="12">
        <f t="shared" si="20"/>
        <v>2612</v>
      </c>
      <c r="AA95" s="65">
        <f>IF(Z95&lt;0.5,0,IF(Z95="",0,IF(AB84=0,$J$11,AB84)))</f>
        <v>5646</v>
      </c>
      <c r="AB95" s="65">
        <f t="shared" si="18"/>
        <v>6200</v>
      </c>
      <c r="AC95" s="12">
        <f t="shared" si="19"/>
        <v>554</v>
      </c>
      <c r="AD95" t="str">
        <f aca="true" t="shared" si="25" ref="AD95:AD101">IF(N11=0,"",IF(Z95="","",IF(ROUND(AC95-N11,0)=0,"LOT 2",IF(Z95&lt;0.5,"",IF(AB95-AA95&lt;N11,"PARTIAL","NOT")))))</f>
        <v>PARTIAL</v>
      </c>
      <c r="AF95" s="12">
        <f>IF(Z95="",0,$N$11-AC95-AC84)</f>
        <v>0</v>
      </c>
      <c r="AG95" s="7" t="s">
        <v>56</v>
      </c>
      <c r="AH95" s="12">
        <f>IF(AC95=0,"",IF(AND(AI92="",AI93="",AI94=""),$J$27,IF(AND(AJ92="",AJ93="",AJ94=""),AH94-AI94,"")))</f>
        <v>1754.774962425232</v>
      </c>
      <c r="AI95" s="12">
        <f t="shared" si="21"/>
        <v>554</v>
      </c>
      <c r="AJ95" s="65">
        <f t="shared" si="22"/>
      </c>
      <c r="AK95" s="7" t="s">
        <v>56</v>
      </c>
      <c r="AL95" s="12">
        <f>IF(AC95=0,"",IF(AND(AM92="",AM93="",AM94=""),$J$28,IF(AND(AN92="",AN93="",AN94=""),AL94-AM94,"")))</f>
        <v>2162.7036406993866</v>
      </c>
      <c r="AM95" s="12">
        <f t="shared" si="23"/>
        <v>554</v>
      </c>
      <c r="AN95" s="65">
        <f t="shared" si="24"/>
      </c>
      <c r="AO95" s="7" t="s">
        <v>56</v>
      </c>
      <c r="AS95" s="255" t="s">
        <v>259</v>
      </c>
      <c r="AU95" s="1" t="s">
        <v>163</v>
      </c>
    </row>
    <row r="96" spans="24:47" ht="12.75" hidden="1">
      <c r="X96" s="7"/>
      <c r="Y96" s="7">
        <v>5</v>
      </c>
      <c r="Z96" s="12">
        <f t="shared" si="20"/>
        <v>2058</v>
      </c>
      <c r="AA96" s="65">
        <f>IF(Z96&lt;0.5,0,IF(Z96="",0,IF(AB85=0,$J$12,AB85)))</f>
        <v>7000</v>
      </c>
      <c r="AB96" s="65">
        <f t="shared" si="18"/>
        <v>8000</v>
      </c>
      <c r="AC96" s="12">
        <f t="shared" si="19"/>
        <v>1000</v>
      </c>
      <c r="AD96" t="str">
        <f t="shared" si="25"/>
        <v>LOT 2</v>
      </c>
      <c r="AF96" s="12">
        <f>IF(Z96="",0,$N$12-AC96-AC85)</f>
        <v>0</v>
      </c>
      <c r="AG96" s="7" t="s">
        <v>58</v>
      </c>
      <c r="AH96" s="12">
        <f>IF(AC96=0,"",IF(AND(AI92="",AI93="",AI94="",AI95=""),$J$27,IF(AND(AJ92="",AJ93="",AJ94="",AJ95=""),AH95-AI95,"")))</f>
        <v>1200.774962425232</v>
      </c>
      <c r="AI96" s="12">
        <f t="shared" si="21"/>
        <v>1000</v>
      </c>
      <c r="AJ96" s="65">
        <f t="shared" si="22"/>
      </c>
      <c r="AK96" s="7" t="s">
        <v>58</v>
      </c>
      <c r="AL96" s="12">
        <f>IF(AC96=0,"",IF(AND(AM92="",AM93="",AM94="",AM95=""),$J$28,IF(AND(AN92="",AN93="",AN94="",AN95=""),AL95-AM95,"")))</f>
        <v>1608.7036406993866</v>
      </c>
      <c r="AM96" s="12">
        <f t="shared" si="23"/>
        <v>1000</v>
      </c>
      <c r="AN96" s="65">
        <f t="shared" si="24"/>
      </c>
      <c r="AO96" s="7" t="s">
        <v>58</v>
      </c>
      <c r="AS96" s="255" t="s">
        <v>262</v>
      </c>
      <c r="AU96" s="1" t="s">
        <v>164</v>
      </c>
    </row>
    <row r="97" spans="24:47" ht="12.75" hidden="1">
      <c r="X97" s="7"/>
      <c r="Y97" s="7">
        <v>6</v>
      </c>
      <c r="Z97" s="12">
        <f t="shared" si="20"/>
        <v>1058</v>
      </c>
      <c r="AA97" s="65">
        <f>IF(Z97&lt;0.5,0,IF(Z97="",0,IF(AB86=0,$J$13,AB86)))</f>
        <v>9400</v>
      </c>
      <c r="AB97" s="65">
        <f t="shared" si="18"/>
        <v>10000</v>
      </c>
      <c r="AC97" s="12">
        <f t="shared" si="19"/>
        <v>600</v>
      </c>
      <c r="AD97" t="str">
        <f t="shared" si="25"/>
        <v>LOT 2</v>
      </c>
      <c r="AF97" s="12">
        <f>IF(Z97="",0,$N$13-AC97-AC86)</f>
        <v>0</v>
      </c>
      <c r="AG97" s="7" t="s">
        <v>61</v>
      </c>
      <c r="AH97" s="12">
        <f>IF(AC97=0,"",IF(AND(AI92="",AI93="",AI94="",AI95="",AI96=""),$J$27,IF(AND(AJ92="",AJ93="",AJ94="",AJ95="",AJ96=""),AH96-AI96,"")))</f>
        <v>200.77496242523193</v>
      </c>
      <c r="AI97" s="12">
        <f t="shared" si="21"/>
        <v>200.77496242523193</v>
      </c>
      <c r="AJ97" s="65">
        <f t="shared" si="22"/>
        <v>9600.774962425232</v>
      </c>
      <c r="AK97" s="7" t="s">
        <v>61</v>
      </c>
      <c r="AL97" s="12">
        <f>IF(AC97=0,"",IF(AND(AM92="",AM93="",AM94="",AM95="",AM96=""),$J$28,IF(AND(AN92="",AN93="",AN94="",AN95="",AN96=""),AL96-AM96,"")))</f>
        <v>608.7036406993866</v>
      </c>
      <c r="AM97" s="12">
        <f t="shared" si="23"/>
        <v>600</v>
      </c>
      <c r="AN97" s="65">
        <f t="shared" si="24"/>
      </c>
      <c r="AO97" s="7" t="s">
        <v>61</v>
      </c>
      <c r="AU97" s="1" t="s">
        <v>165</v>
      </c>
    </row>
    <row r="98" spans="24:47" ht="12.75" hidden="1">
      <c r="X98" s="7"/>
      <c r="Y98" s="7">
        <v>7</v>
      </c>
      <c r="Z98" s="12">
        <f t="shared" si="20"/>
        <v>458</v>
      </c>
      <c r="AA98" s="65">
        <f>IF(Z98&lt;0.5,0,IF(Z98="",0,IF(AB87=0,$J$14,AB87)))</f>
        <v>11280</v>
      </c>
      <c r="AB98" s="65">
        <f t="shared" si="18"/>
        <v>11738</v>
      </c>
      <c r="AC98" s="12">
        <f>ABS(AB98-AA98)</f>
        <v>458</v>
      </c>
      <c r="AD98" t="str">
        <f t="shared" si="25"/>
        <v>PARTIAL</v>
      </c>
      <c r="AF98" s="12">
        <f>IF(Z98="",0,$N$14-AC98-AC87)</f>
        <v>262</v>
      </c>
      <c r="AG98" s="7" t="s">
        <v>237</v>
      </c>
      <c r="AH98" s="12">
        <f>IF(AC98=0,"",IF(AND(AI92="",AI93="",AI94="",AI95="",AI96="",AI97=""),$J$27,IF(AND(AJ92="",AJ93="",AJ94="",AJ95="",AJ96="",AJ97=""),AH97-AI97,"")))</f>
      </c>
      <c r="AI98" s="12">
        <f t="shared" si="21"/>
      </c>
      <c r="AJ98" s="65">
        <f t="shared" si="22"/>
      </c>
      <c r="AK98" s="7" t="s">
        <v>237</v>
      </c>
      <c r="AL98" s="12">
        <f>IF(AC98=0,"",IF(AND(AM92="",AM93="",AM94="",AM95="",AM96="",AM97=""),$J$28,IF(AND(AN92="",AN93="",AN94="",AN95="",AN96="",AN97=""),AL97-AM97,"")))</f>
        <v>8.703640699386597</v>
      </c>
      <c r="AM98" s="12">
        <f t="shared" si="23"/>
        <v>8.703640699386597</v>
      </c>
      <c r="AN98" s="65">
        <f t="shared" si="24"/>
        <v>11288.703640699387</v>
      </c>
      <c r="AO98" s="7" t="s">
        <v>237</v>
      </c>
      <c r="AU98" s="1" t="s">
        <v>166</v>
      </c>
    </row>
    <row r="99" spans="18:47" ht="12.75" hidden="1">
      <c r="R99" s="44"/>
      <c r="X99" s="7"/>
      <c r="Y99" s="7">
        <v>8</v>
      </c>
      <c r="Z99" s="12">
        <f t="shared" si="20"/>
        <v>0</v>
      </c>
      <c r="AA99" s="65">
        <f>IF(Z99&lt;0.5,0,IF(Z99="",0,IF(AB88=0,$J$15,AB88)))</f>
        <v>0</v>
      </c>
      <c r="AB99" s="65">
        <f t="shared" si="18"/>
        <v>0</v>
      </c>
      <c r="AC99" s="12">
        <f>ABS(AB99-AA99)</f>
        <v>0</v>
      </c>
      <c r="AD99">
        <f t="shared" si="25"/>
      </c>
      <c r="AF99" s="12">
        <f>IF(Z99="",0,$N$15-AC99-AC88)</f>
        <v>750</v>
      </c>
      <c r="AG99" s="7" t="s">
        <v>238</v>
      </c>
      <c r="AH99" s="12">
        <f>IF(AC99=0,"",IF(AND(AI92="",AI93="",AI94="",AI95="",AI96="",AI97="",AI98=""),$J$27,IF(AND(AJ92="",AJ93="",AJ94="",AJ95="",AJ96="",AJ97="",AJ98=""),AH98-AI98,"")))</f>
      </c>
      <c r="AI99" s="12">
        <f t="shared" si="21"/>
      </c>
      <c r="AJ99" s="65">
        <f t="shared" si="22"/>
      </c>
      <c r="AK99" s="7" t="s">
        <v>238</v>
      </c>
      <c r="AL99" s="12">
        <f>IF(AC99=0,"",IF(AND(AM92="",AM93="",AM94="",AM95="",AM96="",AM97="",AM98=""),$J$28,IF(AND(AN92="",AN93="",AN94="",AN95="",AN96="",AN97="",AN98=""),AL98-AM98,"")))</f>
      </c>
      <c r="AM99" s="12">
        <f t="shared" si="23"/>
      </c>
      <c r="AN99" s="65">
        <f t="shared" si="24"/>
      </c>
      <c r="AO99" s="7" t="s">
        <v>238</v>
      </c>
      <c r="AU99" s="1" t="s">
        <v>167</v>
      </c>
    </row>
    <row r="100" spans="18:47" ht="12.75" hidden="1">
      <c r="R100" s="44"/>
      <c r="X100" s="7"/>
      <c r="Y100" s="7">
        <v>9</v>
      </c>
      <c r="Z100" s="12">
        <f t="shared" si="20"/>
        <v>0</v>
      </c>
      <c r="AA100" s="65">
        <f>IF(Z100&lt;0.5,0,IF(Z100="",0,IF(AB89=0,$J$16,AB89)))</f>
        <v>0</v>
      </c>
      <c r="AB100" s="65">
        <f t="shared" si="18"/>
        <v>0</v>
      </c>
      <c r="AC100" s="12">
        <f>ABS(AB100-AA100)</f>
        <v>0</v>
      </c>
      <c r="AD100">
        <f t="shared" si="25"/>
      </c>
      <c r="AF100" s="12">
        <f>IF(Z100="",0,$N$16-AC100-AC89)</f>
        <v>900</v>
      </c>
      <c r="AG100" s="7" t="s">
        <v>276</v>
      </c>
      <c r="AH100" s="12">
        <f>IF(AC100=0,"",IF(AND(AI92="",AI93="",AI94="",AI95="",AI96="",AI97="",AI98="",AI99=""),$J$27,IF(AND(AJ92="",AJ93="",AJ94="",AJ95="",AJ96="",AJ97="",AJ98="",AJ99=""),AH99-AI99,"")))</f>
      </c>
      <c r="AI100" s="12">
        <f>IF(AH100="","",IF(AC100&gt;=AH100,AH100,AC100))</f>
      </c>
      <c r="AJ100" s="65">
        <f t="shared" si="22"/>
      </c>
      <c r="AK100" s="7" t="s">
        <v>276</v>
      </c>
      <c r="AL100" s="12">
        <f>IF(AC100=0,"",IF(AND(AM92="",AM93="",AM94="",AM95="",AM96="",AM97="",AM98="",AM99=""),$J$28,IF(AND(AN92="",AN93="",AN94="",AN95="",AN96="",AN97="",AN98="",AN99=""),AL99-AM99,"")))</f>
      </c>
      <c r="AM100" s="12">
        <f>IF(AL100="","",IF(AC100&gt;=AL100,AL100,AC100))</f>
      </c>
      <c r="AN100" s="65">
        <f t="shared" si="24"/>
      </c>
      <c r="AO100" s="7" t="s">
        <v>276</v>
      </c>
      <c r="AU100" s="1"/>
    </row>
    <row r="101" spans="18:47" ht="12.75" hidden="1">
      <c r="R101" s="44"/>
      <c r="X101" s="7"/>
      <c r="Y101" s="7">
        <v>10</v>
      </c>
      <c r="Z101" s="12">
        <f t="shared" si="20"/>
        <v>0</v>
      </c>
      <c r="AA101" s="65">
        <f>IF(Z101&lt;0.5,0,IF(Z101="",0,IF(AB90=0,$J$17,AB90)))</f>
        <v>0</v>
      </c>
      <c r="AB101" s="65">
        <f t="shared" si="18"/>
        <v>0</v>
      </c>
      <c r="AC101" s="12">
        <f>ABS(AB101-AA101)</f>
        <v>0</v>
      </c>
      <c r="AD101">
        <f t="shared" si="25"/>
      </c>
      <c r="AF101" s="12">
        <f>IF(Z101="",0,$N$17-AC101-AC90)</f>
        <v>700</v>
      </c>
      <c r="AG101" s="7" t="s">
        <v>296</v>
      </c>
      <c r="AH101" s="12">
        <f>IF(AC101=0,"",IF(AND(AI92="",AI93="",AI94="",AI95="",AI96="",AI97="",AI98="",AI99="",AI100=""),$J$27,IF(AND(AJ92="",AJ93="",AJ94="",AJ95="",AJ96="",AJ97="",AJ98="",AJ99="",AJ100=""),AH100-AI100,"")))</f>
      </c>
      <c r="AI101" s="12">
        <f>IF(AH101="","",IF(AC101&gt;=AH101,AH101,AC101))</f>
      </c>
      <c r="AJ101" s="65">
        <f t="shared" si="22"/>
      </c>
      <c r="AK101" s="7" t="s">
        <v>296</v>
      </c>
      <c r="AL101" s="12">
        <f>IF(AC101=0,"",IF(AND(AM92="",AM93="",AM94="",AM95="",AM96="",AM97="",AM98="",AM99="",AM100=""),$J$28,IF(AND(AN92="",AN93="",AN94="",AN95="",AN96="",AN97="",AN98="",AN99="",AN100=""),AL100-AM100,"")))</f>
      </c>
      <c r="AM101" s="12">
        <f>IF(AL101="","",IF(AC101&gt;=AL101,AL101,AC101))</f>
      </c>
      <c r="AN101" s="65">
        <f t="shared" si="24"/>
      </c>
      <c r="AO101" s="7" t="s">
        <v>296</v>
      </c>
      <c r="AU101" s="1"/>
    </row>
    <row r="102" spans="18:47" ht="12.75" hidden="1">
      <c r="R102" s="44"/>
      <c r="X102" s="7"/>
      <c r="Y102" s="7"/>
      <c r="Z102" s="12"/>
      <c r="AC102" s="12"/>
      <c r="AL102" s="12"/>
      <c r="AM102" s="12"/>
      <c r="AU102" s="1" t="s">
        <v>168</v>
      </c>
    </row>
    <row r="103" spans="18:47" ht="12.75" hidden="1">
      <c r="R103" s="44"/>
      <c r="X103" s="7">
        <v>3</v>
      </c>
      <c r="Y103" s="7">
        <v>1</v>
      </c>
      <c r="Z103" s="12">
        <f>IF($L$18&lt;3,"",(IF(ROUND(AF92,0)=0,"",$L$19)))</f>
      </c>
      <c r="AA103" s="65">
        <f>IF(Z103&lt;0.5,0,IF(Z103="",0,IF(AB92=0,$J$8,AB92)))</f>
        <v>0</v>
      </c>
      <c r="AB103" s="65">
        <f aca="true" t="shared" si="26" ref="AB103:AB112">IF(Z103="",0,IF(Z103&lt;0.5,0,IF(Z103&lt;=AF92,AA103+Z103*V62,L8)))</f>
        <v>0</v>
      </c>
      <c r="AC103" s="12">
        <f aca="true" t="shared" si="27" ref="AC103:AC108">ABS(AB103-AA103)</f>
        <v>0</v>
      </c>
      <c r="AD103">
        <f>IF(N8=0,"",IF(Z103="","",IF(ROUND(AC103-N8,0)=0,"LOT 3",IF(Z103&lt;0.5,"",IF(AB103-AA103&lt;N8,"PARTIAL","NOT")))))</f>
      </c>
      <c r="AF103" s="12">
        <f>IF(Z103="",0,$N$8-AC103-AC92-AC81)</f>
        <v>0</v>
      </c>
      <c r="AG103" s="7" t="s">
        <v>46</v>
      </c>
      <c r="AH103" s="12">
        <f>IF(AC103=0,"",J30)</f>
      </c>
      <c r="AI103" s="12">
        <f>IF(AC103=0,"",IF(AC103&gt;=AH103,AH103,AC103))</f>
      </c>
      <c r="AJ103" s="65">
        <f>IF(AH103="","",IF(AI103=AC103,"",AA103+AI103*V62))</f>
      </c>
      <c r="AK103" s="7" t="s">
        <v>46</v>
      </c>
      <c r="AL103" s="12">
        <f>IF(AC103=0,"",$J$31)</f>
      </c>
      <c r="AM103" s="12">
        <f>IF(AC103=0,"",IF(AC103&gt;=AL103,AL103,AC103))</f>
      </c>
      <c r="AN103" s="65">
        <f>IF(AL103="","",IF(AM103=AC103,"",AA103+AM103*V62))</f>
      </c>
      <c r="AO103" s="7" t="s">
        <v>46</v>
      </c>
      <c r="AU103" s="1" t="s">
        <v>169</v>
      </c>
    </row>
    <row r="104" spans="18:47" ht="12.75" hidden="1">
      <c r="R104" s="44"/>
      <c r="X104" s="7"/>
      <c r="Y104" s="7">
        <v>2</v>
      </c>
      <c r="Z104" s="12">
        <f aca="true" t="shared" si="28" ref="Z104:Z110">IF(ROUND(AF93,0)=0,"",IF(Z103="",$L$19,ABS(Z103-AC103)))</f>
      </c>
      <c r="AA104" s="65">
        <f>IF(Z104&lt;0.5,0,IF(Z104="",0,IF(AB93=0,$J$9,AB93)))</f>
        <v>0</v>
      </c>
      <c r="AB104" s="65">
        <f t="shared" si="26"/>
        <v>0</v>
      </c>
      <c r="AC104" s="12">
        <f t="shared" si="27"/>
        <v>0</v>
      </c>
      <c r="AD104">
        <f>IF(N9=0,"",IF(Z104="","",IF(ROUND(AC104-N9,0)=0,"LOT 3",IF(Z104&lt;0.5,"",IF(AB104-AA104&lt;N9,"PARTIAL","NOT")))))</f>
      </c>
      <c r="AF104" s="12">
        <f>IF(Z104="",0,$N$9-AC104-AC93-AC82)</f>
        <v>0</v>
      </c>
      <c r="AG104" s="7" t="s">
        <v>49</v>
      </c>
      <c r="AH104" s="12">
        <f>IF(AC104=0,"",IF(AI103="",$J$30,IF(AJ103="",AH103-AI103,"")))</f>
      </c>
      <c r="AI104" s="12">
        <f aca="true" t="shared" si="29" ref="AI104:AI110">IF(AH104="","",IF(AC104&gt;=AH104,AH104,AC104))</f>
      </c>
      <c r="AJ104" s="65">
        <f aca="true" t="shared" si="30" ref="AJ104:AJ112">IF(AH104="","",IF(ROUND(AI104-AH104,0)=0,AA104+AI104*V63,IF(AI104=AC104,"",AA104+AI104*V63)))</f>
      </c>
      <c r="AK104" s="7" t="s">
        <v>49</v>
      </c>
      <c r="AL104" s="12">
        <f>IF(AC104=0,"",IF(AM103="",$J$31,IF(AN103="",AL103-AM103,"")))</f>
      </c>
      <c r="AM104" s="12">
        <f aca="true" t="shared" si="31" ref="AM104:AM110">IF(AL104="","",IF(AC104&gt;=AL104,AL104,AC104))</f>
      </c>
      <c r="AN104" s="65">
        <f aca="true" t="shared" si="32" ref="AN104:AN112">IF(AL104="","",IF(ROUND(AM104-AL104,0)=0,AA104+AM104*V63,IF(AM104=AC104,"",AA104+AM104*V63)))</f>
      </c>
      <c r="AO104" s="7" t="s">
        <v>49</v>
      </c>
      <c r="AU104" s="1" t="s">
        <v>170</v>
      </c>
    </row>
    <row r="105" spans="18:47" ht="12.75" hidden="1">
      <c r="R105" s="44"/>
      <c r="X105" s="7"/>
      <c r="Y105" s="7">
        <v>3</v>
      </c>
      <c r="Z105" s="12">
        <f t="shared" si="28"/>
      </c>
      <c r="AA105" s="65">
        <f>IF(Z105&lt;0.5,0,IF(Z105="",0,IF(AB94=0,$J$10,AB94)))</f>
        <v>0</v>
      </c>
      <c r="AB105" s="65">
        <f t="shared" si="26"/>
        <v>0</v>
      </c>
      <c r="AC105" s="12">
        <f t="shared" si="27"/>
        <v>0</v>
      </c>
      <c r="AD105">
        <f>IF(N10=0,"",IF(Z105="","",IF(ROUND(AC105-N10,0)=0,"LOT 3",IF(Z105&lt;0.5,"",IF(AC105&lt;N10,"PARTIAL","NOT")))))</f>
      </c>
      <c r="AF105" s="12">
        <f>IF(Z105="",0,$N$10-AC105-AC94-AC83)</f>
        <v>0</v>
      </c>
      <c r="AG105" s="7" t="s">
        <v>54</v>
      </c>
      <c r="AH105" s="12">
        <f>IF(AC105=0,"",IF(AND(AI103="",AI104=""),$J$30,IF(AND(AJ103="",AJ104=""),AH104-AI104,"")))</f>
      </c>
      <c r="AI105" s="12">
        <f t="shared" si="29"/>
      </c>
      <c r="AJ105" s="65">
        <f t="shared" si="30"/>
      </c>
      <c r="AK105" s="7" t="s">
        <v>54</v>
      </c>
      <c r="AL105" s="12">
        <f>IF(AC105=0,"",IF(AND(AM103="",AM104=""),$J$31,IF(AND(AN103="",AN104=""),AL104-AM104,"")))</f>
      </c>
      <c r="AM105" s="12">
        <f t="shared" si="31"/>
      </c>
      <c r="AN105" s="65">
        <f t="shared" si="32"/>
      </c>
      <c r="AO105" s="7" t="s">
        <v>54</v>
      </c>
      <c r="AU105" s="1" t="s">
        <v>171</v>
      </c>
    </row>
    <row r="106" spans="18:47" ht="12.75" hidden="1">
      <c r="R106" s="44"/>
      <c r="X106" s="7"/>
      <c r="Y106" s="7">
        <v>4</v>
      </c>
      <c r="Z106" s="12">
        <f t="shared" si="28"/>
      </c>
      <c r="AA106" s="65">
        <f>IF(Z106&lt;0.5,0,IF(Z106="",0,IF(AB95=0,$J$11,AB95)))</f>
        <v>0</v>
      </c>
      <c r="AB106" s="65">
        <f t="shared" si="26"/>
        <v>0</v>
      </c>
      <c r="AC106" s="12">
        <f t="shared" si="27"/>
        <v>0</v>
      </c>
      <c r="AD106">
        <f aca="true" t="shared" si="33" ref="AD106:AD112">IF(N11=0,"",IF(Z106="","",IF(ROUND(AC106-N11,0)=0,"LOT 3",IF(Z106&lt;0.5,"",IF(AB106-AA106&lt;N11,"PARTIAL","NOT")))))</f>
      </c>
      <c r="AF106" s="12">
        <f>IF(Z106="",0,$N$11-AC106-AC95-AC84)</f>
        <v>0</v>
      </c>
      <c r="AG106" s="7" t="s">
        <v>56</v>
      </c>
      <c r="AH106" s="12">
        <f>IF(AC106=0,"",IF(AND(AI103="",AI104="",AI105=""),$J$30,IF(AND(AJ103="",AJ104="",AJ105=""),AH105-AI105,"")))</f>
      </c>
      <c r="AI106" s="12">
        <f t="shared" si="29"/>
      </c>
      <c r="AJ106" s="65">
        <f t="shared" si="30"/>
      </c>
      <c r="AK106" s="7" t="s">
        <v>56</v>
      </c>
      <c r="AL106" s="12">
        <f>IF(AC106=0,"",IF(AND(AM103="",AM104="",AM105=""),$J$31,IF(AND(AN103="",AN104="",AN105=""),AL105-AM105,"")))</f>
      </c>
      <c r="AM106" s="12">
        <f t="shared" si="31"/>
      </c>
      <c r="AN106" s="65">
        <f t="shared" si="32"/>
      </c>
      <c r="AO106" s="7" t="s">
        <v>56</v>
      </c>
      <c r="AU106" s="1" t="s">
        <v>172</v>
      </c>
    </row>
    <row r="107" spans="18:47" ht="12.75" hidden="1">
      <c r="R107" s="44"/>
      <c r="X107" s="7"/>
      <c r="Y107" s="7">
        <v>5</v>
      </c>
      <c r="Z107" s="12">
        <f t="shared" si="28"/>
      </c>
      <c r="AA107" s="65">
        <f>IF(Z107&lt;0.5,0,IF(Z107="",0,IF(AB96=0,$J$12,AB96)))</f>
        <v>0</v>
      </c>
      <c r="AB107" s="65">
        <f t="shared" si="26"/>
        <v>0</v>
      </c>
      <c r="AC107" s="12">
        <f t="shared" si="27"/>
        <v>0</v>
      </c>
      <c r="AD107">
        <f t="shared" si="33"/>
      </c>
      <c r="AF107" s="12">
        <f>IF(Z107="",0,$N$12-AC107-AC96-AC85)</f>
        <v>0</v>
      </c>
      <c r="AG107" s="7" t="s">
        <v>58</v>
      </c>
      <c r="AH107" s="12">
        <f>IF(AC107=0,"",IF(AND(AI103="",AI104="",AI105="",AI106=""),$J$30,IF(AND(AJ103="",AJ104="",AJ105="",AJ106=""),AH106-AI106,"")))</f>
      </c>
      <c r="AI107" s="12">
        <f t="shared" si="29"/>
      </c>
      <c r="AJ107" s="65">
        <f t="shared" si="30"/>
      </c>
      <c r="AK107" s="7" t="s">
        <v>58</v>
      </c>
      <c r="AL107" s="12">
        <f>IF(AC107=0,"",IF(AND(AM103="",AM104="",AM105="",AM106=""),$J$31,IF(AND(AN103="",AN104="",AN105="",AN106=""),AL106-AM106,"")))</f>
      </c>
      <c r="AM107" s="12">
        <f t="shared" si="31"/>
      </c>
      <c r="AN107" s="65">
        <f t="shared" si="32"/>
      </c>
      <c r="AO107" s="7" t="s">
        <v>58</v>
      </c>
      <c r="AU107" s="1" t="s">
        <v>173</v>
      </c>
    </row>
    <row r="108" spans="18:47" ht="12.75" hidden="1">
      <c r="R108" s="44"/>
      <c r="X108" s="7"/>
      <c r="Y108" s="7">
        <v>6</v>
      </c>
      <c r="Z108" s="12">
        <f t="shared" si="28"/>
      </c>
      <c r="AA108" s="65">
        <f>IF(Z108&lt;0.5,0,IF(Z108="",0,IF(AB97=0,$J$13,AB97)))</f>
        <v>0</v>
      </c>
      <c r="AB108" s="65">
        <f t="shared" si="26"/>
        <v>0</v>
      </c>
      <c r="AC108" s="12">
        <f t="shared" si="27"/>
        <v>0</v>
      </c>
      <c r="AD108">
        <f t="shared" si="33"/>
      </c>
      <c r="AF108" s="12">
        <f>IF(Z108="",0,$N$13-AC108-AC97-AC86)</f>
        <v>0</v>
      </c>
      <c r="AG108" s="7" t="s">
        <v>61</v>
      </c>
      <c r="AH108" s="12">
        <f>IF(AC108=0,"",IF(AND(AI103="",AI104="",AI105="",AI106="",AI107=""),$J$30,IF(AND(AJ103="",AJ104="",AJ105="",AJ106="",AJ107=""),AH107-AI107,"")))</f>
      </c>
      <c r="AI108" s="12">
        <f t="shared" si="29"/>
      </c>
      <c r="AJ108" s="65">
        <f t="shared" si="30"/>
      </c>
      <c r="AK108" s="7" t="s">
        <v>61</v>
      </c>
      <c r="AL108" s="12">
        <f>IF(AC108=0,"",IF(AND(AM103="",AM104="",AM105="",AM106="",AM107=""),$J$31,IF(AND(AN103="",AN104="",AN105="",AN106="",AN107=""),AL107-AM107,"")))</f>
      </c>
      <c r="AM108" s="12">
        <f t="shared" si="31"/>
      </c>
      <c r="AN108" s="65">
        <f t="shared" si="32"/>
      </c>
      <c r="AO108" s="7" t="s">
        <v>61</v>
      </c>
      <c r="AU108" s="1"/>
    </row>
    <row r="109" spans="18:47" ht="12.75" hidden="1">
      <c r="R109" s="44"/>
      <c r="X109" s="7"/>
      <c r="Y109" s="7">
        <v>7</v>
      </c>
      <c r="Z109" s="12">
        <f t="shared" si="28"/>
        <v>2612</v>
      </c>
      <c r="AA109" s="65">
        <f>IF(Z109&lt;0.5,0,IF(Z109="",0,IF(AB98=0,$J$14,AB98)))</f>
        <v>11738</v>
      </c>
      <c r="AB109" s="65">
        <f t="shared" si="26"/>
        <v>12000</v>
      </c>
      <c r="AC109" s="12">
        <f>ABS(AB109-AA109)</f>
        <v>262</v>
      </c>
      <c r="AD109" t="str">
        <f t="shared" si="33"/>
        <v>PARTIAL</v>
      </c>
      <c r="AF109" s="12">
        <f>IF(Z109="",0,$N$14-AC109-AC98-AC87)</f>
        <v>0</v>
      </c>
      <c r="AG109" s="7" t="s">
        <v>237</v>
      </c>
      <c r="AH109" s="12">
        <f>IF(AC109=0,"",IF(AND(AI103="",AI104="",AI105="",AI106="",AI107="",AI108=""),$J$30,IF(AND(AJ103="",AJ104="",AJ105="",AJ106="",AJ107="",AJ108=""),AH108-AI108,"")))</f>
        <v>610.8898460865021</v>
      </c>
      <c r="AI109" s="12">
        <f t="shared" si="29"/>
        <v>262</v>
      </c>
      <c r="AJ109" s="65">
        <f t="shared" si="30"/>
      </c>
      <c r="AK109" s="7" t="s">
        <v>237</v>
      </c>
      <c r="AL109" s="12">
        <f>IF(AC109=0,"",IF(AND(AM103="",AM104="",AM105="",AM106="",AM107="",AM108=""),$J$31,IF(AND(AN103="",AN104="",AN105="",AN106="",AN107="",AN108=""),AL108-AM108,"")))</f>
        <v>370.3589897155762</v>
      </c>
      <c r="AM109" s="12">
        <f t="shared" si="31"/>
        <v>262</v>
      </c>
      <c r="AN109" s="65">
        <f t="shared" si="32"/>
      </c>
      <c r="AO109" s="7" t="s">
        <v>237</v>
      </c>
      <c r="AU109" s="1"/>
    </row>
    <row r="110" spans="18:47" ht="12.75" hidden="1">
      <c r="R110" s="44"/>
      <c r="X110" s="7"/>
      <c r="Y110" s="7">
        <v>8</v>
      </c>
      <c r="Z110" s="12">
        <f t="shared" si="28"/>
        <v>2350</v>
      </c>
      <c r="AA110" s="65">
        <f>IF(Z110&lt;0.5,0,IF(Z110="",0,IF(AB99=0,$J$15,AB99)))</f>
        <v>13250</v>
      </c>
      <c r="AB110" s="65">
        <f t="shared" si="26"/>
        <v>14000</v>
      </c>
      <c r="AC110" s="12">
        <f>ABS(AB110-AA110)</f>
        <v>750</v>
      </c>
      <c r="AD110" t="str">
        <f t="shared" si="33"/>
        <v>LOT 3</v>
      </c>
      <c r="AF110" s="12">
        <f>IF(Z110="",0,$N$15-AC110-AC99-AC88)</f>
        <v>0</v>
      </c>
      <c r="AG110" s="7" t="s">
        <v>238</v>
      </c>
      <c r="AH110" s="12">
        <f>IF(AC110=0,"",IF(AND(AI103="",AI104="",AI105="",AI106="",AI107="",AI108="",AI109=""),$J$30,IF(AND(AJ103="",AJ104="",AJ105="",AJ106="",AJ107="",AJ108="",AJ109=""),AH109-AI109,"")))</f>
        <v>348.8898460865021</v>
      </c>
      <c r="AI110" s="12">
        <f t="shared" si="29"/>
        <v>348.8898460865021</v>
      </c>
      <c r="AJ110" s="65">
        <f t="shared" si="30"/>
        <v>13598.889846086502</v>
      </c>
      <c r="AK110" s="7" t="s">
        <v>238</v>
      </c>
      <c r="AL110" s="12">
        <f>IF(AC110=0,"",IF(AND(AM103="",AM104="",AM105="",AM106="",AM107="",AM108="",AM109=""),$J$31,IF(AND(AN103="",AN104="",AN105="",AN106="",AN107="",AN108="",AN109=""),AL109-AM109,"")))</f>
        <v>108.35898971557617</v>
      </c>
      <c r="AM110" s="12">
        <f t="shared" si="31"/>
        <v>108.35898971557617</v>
      </c>
      <c r="AN110" s="65">
        <f t="shared" si="32"/>
        <v>13358.358989715576</v>
      </c>
      <c r="AO110" s="7" t="s">
        <v>238</v>
      </c>
      <c r="AU110" s="1" t="s">
        <v>174</v>
      </c>
    </row>
    <row r="111" spans="18:47" ht="12.75" hidden="1">
      <c r="R111" s="44"/>
      <c r="X111" s="7"/>
      <c r="Y111" s="7">
        <v>9</v>
      </c>
      <c r="Z111" s="12">
        <f>IF(ROUND(AF100,0)=0,"",IF(Z110="",$L$19,ABS(Z110-AC110)))</f>
        <v>1600</v>
      </c>
      <c r="AA111" s="65">
        <f>IF(Z111&lt;0.5,0,IF(Z111="",0,IF(AB100=0,$J$16,AB100)))</f>
        <v>15100</v>
      </c>
      <c r="AB111" s="65">
        <f t="shared" si="26"/>
        <v>16000</v>
      </c>
      <c r="AC111" s="12">
        <f>ABS(AB111-AA111)</f>
        <v>900</v>
      </c>
      <c r="AD111" t="str">
        <f t="shared" si="33"/>
        <v>LOT 3</v>
      </c>
      <c r="AF111" s="12">
        <f>IF(Z111="",0,$N$16-AC111-AC100-AC89)</f>
        <v>0</v>
      </c>
      <c r="AG111" s="7" t="s">
        <v>276</v>
      </c>
      <c r="AH111" s="12">
        <f>IF(AC111=0,"",IF(AND(AI103="",AI104="",AI105="",AI106="",AI107="",AI108="",AI109="",AI110=""),$J$30,IF(AND(AJ103="",AJ104="",AJ105="",AJ106="",AJ107="",AJ108="",AJ109="",AJ110=""),AH110-AI110,"")))</f>
      </c>
      <c r="AI111" s="12">
        <f>IF(AH111="","",IF(AC111&gt;=AH111,AH111,AC111))</f>
      </c>
      <c r="AJ111" s="65">
        <f t="shared" si="30"/>
      </c>
      <c r="AK111" s="7" t="s">
        <v>276</v>
      </c>
      <c r="AL111" s="12">
        <f>IF(AC111=0,"",IF(AND(AM103="",AM104="",AM105="",AM106="",AM107="",AM108="",AM109="",AM110=""),$J$31,IF(AND(AN103="",AN104="",AN105="",AN106="",AN107="",AN108="",AN109="",AN110=""),AL110-AM110,"")))</f>
      </c>
      <c r="AM111" s="12">
        <f>IF(AL111="","",IF(AC111&gt;=AL111,AL111,AC111))</f>
      </c>
      <c r="AN111" s="65">
        <f t="shared" si="32"/>
      </c>
      <c r="AO111" s="7" t="s">
        <v>276</v>
      </c>
      <c r="AU111" s="1"/>
    </row>
    <row r="112" spans="18:47" ht="12.75" hidden="1">
      <c r="R112" s="44"/>
      <c r="X112" s="7"/>
      <c r="Y112" s="7">
        <v>10</v>
      </c>
      <c r="Z112" s="12">
        <f>IF(ROUND(AF101,0)=0,"",IF(Z111="",$L$19,ABS(Z111-AC111)))</f>
        <v>700</v>
      </c>
      <c r="AA112" s="65">
        <f>IF(Z112&lt;0.5,0,IF(Z112="",0,IF(AB101=0,$J$17,AB101)))</f>
        <v>18000</v>
      </c>
      <c r="AB112" s="65">
        <f t="shared" si="26"/>
        <v>18700</v>
      </c>
      <c r="AC112" s="12">
        <f>ABS(AB112-AA112)</f>
        <v>700</v>
      </c>
      <c r="AD112" t="str">
        <f t="shared" si="33"/>
        <v>LOT 3</v>
      </c>
      <c r="AF112" s="12">
        <f>IF(Z112="",0,$N$17-AC112-AC101-AC90)</f>
        <v>0</v>
      </c>
      <c r="AG112" s="7" t="s">
        <v>296</v>
      </c>
      <c r="AH112" s="12">
        <f>IF(AC112=0,"",IF(AND(AI103="",AI104="",AI105="",AI106="",AI107="",AI108="",AI109="",AI110="",AI111=""),$J$30,IF(AND(AJ103="",AJ104="",AJ105="",AJ106="",AJ107="",AJ108="",AJ109="",AJ110="",AJ111=""),AH111-AI111,"")))</f>
      </c>
      <c r="AI112" s="12">
        <f>IF(AH112="","",IF(AC112&gt;=AH112,AH112,AC112))</f>
      </c>
      <c r="AJ112" s="65">
        <f t="shared" si="30"/>
      </c>
      <c r="AK112" s="7" t="s">
        <v>296</v>
      </c>
      <c r="AL112" s="12">
        <f>IF(AC112=0,"",IF(AND(AM103="",AM104="",AM105="",AM106="",AM107="",AM108="",AM109="",AM110="",AM111=""),$J$31,IF(AND(AN103="",AN104="",AN105="",AN106="",AN107="",AN108="",AN109="",AN110="",AN111=""),AL111-AM111,"")))</f>
      </c>
      <c r="AM112" s="12">
        <f>IF(AL112="","",IF(AC112&gt;=AL112,AL112,AC112))</f>
      </c>
      <c r="AN112" s="65">
        <f t="shared" si="32"/>
      </c>
      <c r="AO112" s="7" t="s">
        <v>296</v>
      </c>
      <c r="AU112" s="1"/>
    </row>
    <row r="113" spans="18:47" ht="12.75" hidden="1">
      <c r="R113" s="44"/>
      <c r="U113" s="7"/>
      <c r="V113" s="7">
        <f>IF(L18&lt;7,"",VLOOKUP(10000000,$AJ$147:$AK$152,2))</f>
      </c>
      <c r="W113" s="65">
        <f>IF(V113="","",VLOOKUP(V113,$AG$147:$AJ$152,4))</f>
      </c>
      <c r="X113" s="7"/>
      <c r="Y113" s="7"/>
      <c r="Z113" s="12"/>
      <c r="AU113" s="1" t="s">
        <v>175</v>
      </c>
    </row>
    <row r="114" spans="18:47" ht="12.75" hidden="1">
      <c r="R114" s="44"/>
      <c r="U114" s="7"/>
      <c r="V114" s="7">
        <f>IF(L18&lt;7,"",VLOOKUP(10000000,$AN$147:$AO$152,2))</f>
      </c>
      <c r="W114" s="65">
        <f>IF(V114="","",VLOOKUP(V114,$AK$147:$AN$152,4))</f>
      </c>
      <c r="X114" s="7">
        <v>4</v>
      </c>
      <c r="Y114" s="7">
        <v>1</v>
      </c>
      <c r="Z114" s="12">
        <f>IF($L$18&lt;4,"",(IF(ROUND(AF103,0)=0,"",$L$19)))</f>
      </c>
      <c r="AA114" s="65">
        <f>IF(Z114&lt;0.5,0,IF(Z114="",0,IF(AB103=0,$J$8,AB103)))</f>
        <v>0</v>
      </c>
      <c r="AB114" s="65">
        <f>IF(Z114="",0,IF(Z114&lt;0.5,0,IF(Z114&lt;=AF103,AA114+Z114*V62,$L$8)))</f>
        <v>0</v>
      </c>
      <c r="AC114" s="12">
        <f aca="true" t="shared" si="34" ref="AC114:AC119">ABS(AB114-AA114)</f>
        <v>0</v>
      </c>
      <c r="AD114">
        <f>IF($N$8=0,"",IF(Z114="","",IF(ROUND(AC114-$N$8,0)=0,"LOT 4",IF(Z114&lt;0.5,"",IF(AB114-AA114&lt;$N$8,"PARTIAL","NOT")))))</f>
      </c>
      <c r="AF114" s="12">
        <f>IF(Z114="",0,$N$8-AC114-AC103-AC92-AC81)</f>
        <v>0</v>
      </c>
      <c r="AG114" s="7" t="s">
        <v>46</v>
      </c>
      <c r="AH114" s="12">
        <f>IF(AC114=0,"",J33)</f>
      </c>
      <c r="AI114" s="12">
        <f>IF(AC114=0,"",IF(AC114&gt;=AH114,AH114,AC114))</f>
      </c>
      <c r="AJ114" s="65">
        <f>IF(AH114="","",IF(AI114=AC114,"",AA114+AI114*V62))</f>
      </c>
      <c r="AK114" s="7" t="s">
        <v>46</v>
      </c>
      <c r="AL114" s="12">
        <f>IF(AC114=0,"",$J$34)</f>
      </c>
      <c r="AM114" s="12">
        <f>IF(AC114=0,"",IF(AC114&gt;=AL114,AL114,AC114))</f>
      </c>
      <c r="AN114" s="65">
        <f>IF(AL114="","",IF(AM114=AC114,"",AA114+AM114*V62))</f>
      </c>
      <c r="AO114" s="7" t="s">
        <v>46</v>
      </c>
      <c r="AU114" s="1"/>
    </row>
    <row r="115" spans="18:47" ht="12.75" hidden="1">
      <c r="R115" s="44"/>
      <c r="V115" s="7"/>
      <c r="X115" s="7"/>
      <c r="Y115" s="7">
        <v>2</v>
      </c>
      <c r="Z115" s="12">
        <f aca="true" t="shared" si="35" ref="Z115:Z121">IF(ROUND(AF104,0)=0,"",IF(Z114="",$L$19,ABS(Z114-AC114)))</f>
      </c>
      <c r="AA115" s="65">
        <f>IF(Z115&lt;0.5,0,IF(Z115="",0,IF(AB104=0,$J$9,AB104)))</f>
        <v>0</v>
      </c>
      <c r="AB115" s="65">
        <f>IF(Z115="",0,IF(Z115&lt;0.5,0,IF(Z115&lt;=AF104,AA115+Z115*V63,$L$9)))</f>
        <v>0</v>
      </c>
      <c r="AC115" s="12">
        <f t="shared" si="34"/>
        <v>0</v>
      </c>
      <c r="AD115">
        <f>IF($N$9=0,"",IF(Z115="","",IF(ROUND(AC115-$N$9,0)=0,"LOT 4",IF(Z115&lt;0.5,"",IF(AB115-AA115&lt;$N$9,"PARTIAL","NOT")))))</f>
      </c>
      <c r="AF115" s="12">
        <f>IF(Z115="",0,$N$9-AC115-AC104-AC93-AC82)</f>
        <v>0</v>
      </c>
      <c r="AG115" s="7" t="s">
        <v>49</v>
      </c>
      <c r="AH115" s="12">
        <f>IF(AC115=0,"",IF(AI114="",$J$33,IF(AJ114="",AH114-AI114,"")))</f>
      </c>
      <c r="AI115" s="12">
        <f aca="true" t="shared" si="36" ref="AI115:AI121">IF(AH115="","",IF(AC115&gt;=AH115,AH115,AC115))</f>
      </c>
      <c r="AJ115" s="65">
        <f aca="true" t="shared" si="37" ref="AJ115:AJ123">IF(AH115="","",IF(ROUND(AI115-AH115,0)=0,AA115+AI115*V63,IF(AI115=AC115,"",AA115+AI115*V63)))</f>
      </c>
      <c r="AK115" s="7" t="s">
        <v>49</v>
      </c>
      <c r="AL115" s="12">
        <f>IF(AC115=0,"",IF(AM114="",$J$34,IF(AN114="",AL114-AM114,"")))</f>
      </c>
      <c r="AM115" s="12">
        <f aca="true" t="shared" si="38" ref="AM115:AM121">IF(AL115="","",IF(AC115&gt;=AL115,AL115,AC115))</f>
      </c>
      <c r="AN115" s="65">
        <f aca="true" t="shared" si="39" ref="AN115:AN123">IF(AL115="","",IF(ROUND(AM115-AL115,0)=0,AA115+AM115*V63,IF(AM115=AC115,"",AA115+AM115*V63)))</f>
      </c>
      <c r="AO115" s="7" t="s">
        <v>49</v>
      </c>
      <c r="AU115" s="1" t="s">
        <v>176</v>
      </c>
    </row>
    <row r="116" spans="18:47" ht="12.75" hidden="1">
      <c r="R116" s="44"/>
      <c r="X116" s="7"/>
      <c r="Y116" s="7">
        <v>3</v>
      </c>
      <c r="Z116" s="12">
        <f t="shared" si="35"/>
      </c>
      <c r="AA116" s="65">
        <f>IF(Z116&lt;0.5,0,IF(Z116="",0,IF(AB105=0,$J$10,AB105)))</f>
        <v>0</v>
      </c>
      <c r="AB116" s="65">
        <f>IF(Z116="",0,IF(Z116&lt;0.5,0,IF(Z116&lt;=AF105,AA116+Z116*V64,$L$10)))</f>
        <v>0</v>
      </c>
      <c r="AC116" s="12">
        <f t="shared" si="34"/>
        <v>0</v>
      </c>
      <c r="AD116">
        <f>IF($N$10=0,"",IF(Z116="","",IF(ROUND(AC116-$N$10,0)=0,"LOT 4",IF(Z116&lt;0.5,"",IF(AC116&lt;$N$10,"PARTIAL","NOT")))))</f>
      </c>
      <c r="AF116" s="12">
        <f>IF(Z116="",0,$N$10-AC116-AC105-AC94-AC83)</f>
        <v>0</v>
      </c>
      <c r="AG116" s="7" t="s">
        <v>54</v>
      </c>
      <c r="AH116" s="12">
        <f>IF(AC116=0,"",IF(AND(AI114="",AI115=""),$J$33,IF(AND(AJ114="",AJ115=""),AH115-AI115,"")))</f>
      </c>
      <c r="AI116" s="12">
        <f t="shared" si="36"/>
      </c>
      <c r="AJ116" s="65">
        <f t="shared" si="37"/>
      </c>
      <c r="AK116" s="7" t="s">
        <v>54</v>
      </c>
      <c r="AL116" s="12">
        <f>IF(AC116=0,"",IF(AND(AM114="",AM115=""),$J$34,IF(AND(AN114="",AN115=""),AL115-AM115,"")))</f>
      </c>
      <c r="AM116" s="12">
        <f t="shared" si="38"/>
      </c>
      <c r="AN116" s="65">
        <f t="shared" si="39"/>
      </c>
      <c r="AO116" s="7" t="s">
        <v>54</v>
      </c>
      <c r="AU116" s="1" t="s">
        <v>177</v>
      </c>
    </row>
    <row r="117" spans="24:47" ht="12.75" hidden="1">
      <c r="X117" s="7"/>
      <c r="Y117" s="7">
        <v>4</v>
      </c>
      <c r="Z117" s="12">
        <f t="shared" si="35"/>
      </c>
      <c r="AA117" s="65">
        <f>IF(Z117&lt;0.5,0,IF(Z117="",0,IF(AB106=0,$J$11,AB106)))</f>
        <v>0</v>
      </c>
      <c r="AB117" s="65">
        <f>IF(Z117="",0,IF(Z117&lt;0.5,0,IF(Z117&lt;=AF106,AA117+Z117*V65,$L$11)))</f>
        <v>0</v>
      </c>
      <c r="AC117" s="12">
        <f t="shared" si="34"/>
        <v>0</v>
      </c>
      <c r="AD117">
        <f>IF($N$11=0,"",IF(Z117="","",IF(ROUND(AC117-$N$11,0)=0,"LOT 4",IF(Z117&lt;0.5,"",IF(AB117-AA117&lt;$N$11,"PARTIAL","NOT")))))</f>
      </c>
      <c r="AF117" s="12">
        <f>IF(Z117="",0,$N$11-AC117-AC106-AC95-AC84)</f>
        <v>0</v>
      </c>
      <c r="AG117" s="7" t="s">
        <v>56</v>
      </c>
      <c r="AH117" s="12">
        <f>IF(AC117=0,"",IF(AND(AI114="",AI115="",AI116=""),$J$33,IF(AND(AJ114="",AJ115="",AJ116=""),AH116-AI116,"")))</f>
      </c>
      <c r="AI117" s="12">
        <f t="shared" si="36"/>
      </c>
      <c r="AJ117" s="65">
        <f t="shared" si="37"/>
      </c>
      <c r="AK117" s="7" t="s">
        <v>56</v>
      </c>
      <c r="AL117" s="12">
        <f>IF(AC117=0,"",IF(AND(AM114="",AM115="",AM116=""),$J$34,IF(AND(AN114="",AN115="",AN116=""),AL116-AM116,"")))</f>
      </c>
      <c r="AM117" s="12">
        <f t="shared" si="38"/>
      </c>
      <c r="AN117" s="65">
        <f t="shared" si="39"/>
      </c>
      <c r="AO117" s="7" t="s">
        <v>56</v>
      </c>
      <c r="AU117" s="1" t="s">
        <v>178</v>
      </c>
    </row>
    <row r="118" spans="24:47" ht="12.75" hidden="1">
      <c r="X118" s="7"/>
      <c r="Y118" s="7">
        <v>5</v>
      </c>
      <c r="Z118" s="12">
        <f t="shared" si="35"/>
      </c>
      <c r="AA118" s="65">
        <f>IF(Z118&lt;0.5,0,IF(Z118="",0,IF(AB107=0,$J$12,AB107)))</f>
        <v>0</v>
      </c>
      <c r="AB118" s="65">
        <f>IF(Z118="",0,IF(Z118&lt;0.5,0,IF(Z118&lt;=AF107,AA118+Z118*V66,$L$12)))</f>
        <v>0</v>
      </c>
      <c r="AC118" s="12">
        <f t="shared" si="34"/>
        <v>0</v>
      </c>
      <c r="AD118">
        <f>IF($N$12=0,"",IF(Z118="","",IF(ROUND(AC118-$N$12,0)=0,"LOT 4",IF(Z118&lt;0.5,"",IF(AB118-AA118&lt;$N$12,"PARTIAL","NOT")))))</f>
      </c>
      <c r="AF118" s="12">
        <f>IF(Z118="",0,$N$12-AC118-AC107-AC96-AC85)</f>
        <v>0</v>
      </c>
      <c r="AG118" s="7" t="s">
        <v>58</v>
      </c>
      <c r="AH118" s="12">
        <f>IF(AC118=0,"",IF(AND(AI114="",AI115="",AI116="",AI117=""),$J$33,IF(AND(AJ114="",AJ115="",AJ116="",AJ117=""),AH117-AI117,"")))</f>
      </c>
      <c r="AI118" s="12">
        <f t="shared" si="36"/>
      </c>
      <c r="AJ118" s="65">
        <f t="shared" si="37"/>
      </c>
      <c r="AK118" s="7" t="s">
        <v>58</v>
      </c>
      <c r="AL118" s="12">
        <f>IF(AC118=0,"",IF(AND(AM114="",AM115="",AM116="",AM117=""),$J$34,IF(AND(AN114="",AN115="",AN116="",AN117=""),AL117-AM117,"")))</f>
      </c>
      <c r="AM118" s="12">
        <f t="shared" si="38"/>
      </c>
      <c r="AN118" s="65">
        <f t="shared" si="39"/>
      </c>
      <c r="AO118" s="7" t="s">
        <v>58</v>
      </c>
      <c r="AU118" s="1" t="s">
        <v>179</v>
      </c>
    </row>
    <row r="119" spans="24:47" ht="12.75" hidden="1">
      <c r="X119" s="7"/>
      <c r="Y119" s="7">
        <v>6</v>
      </c>
      <c r="Z119" s="12">
        <f t="shared" si="35"/>
      </c>
      <c r="AA119" s="65">
        <f>IF(Z119&lt;0.5,0,IF(Z119="",0,IF(AB108=0,$J$13,AB108)))</f>
        <v>0</v>
      </c>
      <c r="AB119" s="65">
        <f>IF(Z119="",0,IF(Z119&lt;0.5,0,IF(Z119&lt;=AF108,AA119+Z119*V67,$L$13)))</f>
        <v>0</v>
      </c>
      <c r="AC119" s="12">
        <f t="shared" si="34"/>
        <v>0</v>
      </c>
      <c r="AD119">
        <f>IF($N$13=0,"",IF(Z119="","",IF(ROUND(AC119-$N$13,0)=0,"LOT 4",IF(Z119&lt;0.5,"",IF(AB119-AA119&lt;$N$13,"PARTIAL","NOT")))))</f>
      </c>
      <c r="AF119" s="12">
        <f>IF(Z119="",0,$N$13-AC119-AC108-AC97-AC86)</f>
        <v>0</v>
      </c>
      <c r="AG119" s="7" t="s">
        <v>61</v>
      </c>
      <c r="AH119" s="12">
        <f>IF(AC119=0,"",IF(AND(AI114="",AI115="",AI116="",AI117="",AI118=""),$J$33,IF(AND(AJ114="",AJ115="",AJ116="",AJ117="",AJ118=""),AH118-AI118,"")))</f>
      </c>
      <c r="AI119" s="12">
        <f t="shared" si="36"/>
      </c>
      <c r="AJ119" s="65">
        <f t="shared" si="37"/>
      </c>
      <c r="AK119" s="7" t="s">
        <v>61</v>
      </c>
      <c r="AL119" s="12">
        <f>IF(AC119=0,"",IF(AND(AM114="",AM115="",AM116="",AM117="",AM118=""),$J$34,IF(AND(AN114="",AN115="",AN116="",AN117="",AN118=""),AL118-AM118,"")))</f>
      </c>
      <c r="AM119" s="12">
        <f t="shared" si="38"/>
      </c>
      <c r="AN119" s="65">
        <f t="shared" si="39"/>
      </c>
      <c r="AO119" s="7" t="s">
        <v>61</v>
      </c>
      <c r="AU119" s="1" t="s">
        <v>180</v>
      </c>
    </row>
    <row r="120" spans="24:47" ht="12.75" hidden="1">
      <c r="X120" s="7"/>
      <c r="Y120" s="7">
        <v>7</v>
      </c>
      <c r="Z120" s="12">
        <f t="shared" si="35"/>
      </c>
      <c r="AA120" s="65">
        <f>IF(Z120&lt;0.5,0,IF(Z120="",0,IF(AB109=0,$J$14,AB109)))</f>
        <v>0</v>
      </c>
      <c r="AB120" s="65">
        <f>IF(Z120="",0,IF(Z120&lt;0.5,0,IF(Z120&lt;=AF109,AA120+Z120*V68,$L$14)))</f>
        <v>0</v>
      </c>
      <c r="AC120" s="12">
        <f>ABS(AB120-AA120)</f>
        <v>0</v>
      </c>
      <c r="AD120">
        <f>IF($N$14=0,"",IF(Z120="","",IF(ROUND(AC120-$N$14,0)=0,"LOT 4",IF(Z120&lt;0.5,"",IF(AB120-AA120&lt;$N$14,"PARTIAL","NOT")))))</f>
      </c>
      <c r="AF120" s="12">
        <f>IF(Z120="",0,$N$14-AC120-AC109-AC98-AC87)</f>
        <v>0</v>
      </c>
      <c r="AG120" s="7" t="s">
        <v>237</v>
      </c>
      <c r="AH120" s="12">
        <f>IF(AC120=0,"",IF(AND(AI114="",AI115="",AI116="",AI117="",AI118="",AI119=""),$J$33,IF(AND(AJ114="",AJ115="",AJ116="",AJ117="",AJ118="",AJ119=""),AH119-AI119,"")))</f>
      </c>
      <c r="AI120" s="12">
        <f t="shared" si="36"/>
      </c>
      <c r="AJ120" s="65">
        <f t="shared" si="37"/>
      </c>
      <c r="AK120" s="7" t="s">
        <v>237</v>
      </c>
      <c r="AL120" s="12">
        <f>IF(AC120=0,"",IF(AND(AM114="",AM115="",AM116="",AM117="",AM118="",AM119=""),$J$34,IF(AND(AN114="",AN115="",AN116="",AN117="",AN118="",AN119=""),AL119-AM119,"")))</f>
      </c>
      <c r="AM120" s="12">
        <f t="shared" si="38"/>
      </c>
      <c r="AN120" s="65">
        <f t="shared" si="39"/>
      </c>
      <c r="AO120" s="7" t="s">
        <v>237</v>
      </c>
      <c r="AU120" s="1" t="s">
        <v>181</v>
      </c>
    </row>
    <row r="121" spans="24:47" ht="12.75" hidden="1">
      <c r="X121" s="7"/>
      <c r="Y121" s="7">
        <v>8</v>
      </c>
      <c r="Z121" s="12">
        <f t="shared" si="35"/>
      </c>
      <c r="AA121" s="65">
        <f>IF(Z121&lt;0.5,0,IF(Z121="",0,IF(AB110=0,$J$15,AB110)))</f>
        <v>0</v>
      </c>
      <c r="AB121" s="65">
        <f>IF(Z121="",0,IF(Z121&lt;0.5,0,IF(Z121&lt;=AF110,AA121+Z121*V69,$L$15)))</f>
        <v>0</v>
      </c>
      <c r="AC121" s="12">
        <f>ABS(AB121-AA121)</f>
        <v>0</v>
      </c>
      <c r="AD121">
        <f>IF($N$15=0,"",IF(Z121="","",IF(ROUND(AC121-$N$15,0)=0,"LOT 4",IF(Z121&lt;0.5,"",IF(AB121-AA121&lt;$N$15,"PARTIAL","NOT")))))</f>
      </c>
      <c r="AF121" s="12">
        <f>IF(Z121="",0,$N$15-AC121-AC110-AC99-AC88)</f>
        <v>0</v>
      </c>
      <c r="AG121" s="7" t="s">
        <v>238</v>
      </c>
      <c r="AH121" s="12">
        <f>IF(AC121=0,"",IF(AND(AI114="",AI115="",AI116="",AI117="",AI118="",AI119="",AI120=""),$J$33,IF(AND(AJ114="",AJ115="",AJ116="",AJ117="",AJ118="",AJ119="",AJ120=""),AH120-AI120,"")))</f>
      </c>
      <c r="AI121" s="12">
        <f t="shared" si="36"/>
      </c>
      <c r="AJ121" s="65">
        <f t="shared" si="37"/>
      </c>
      <c r="AK121" s="7" t="s">
        <v>238</v>
      </c>
      <c r="AL121" s="12">
        <f>IF(AC121=0,"",IF(AND(AM114="",AM115="",AM116="",AM117="",AM118="",AM119="",AM120=""),$J$34,IF(AND(AN114="",AN115="",AN116="",AN117="",AN118="",AN119="",AN120=""),AL120-AM120,"")))</f>
      </c>
      <c r="AM121" s="12">
        <f t="shared" si="38"/>
      </c>
      <c r="AN121" s="65">
        <f t="shared" si="39"/>
      </c>
      <c r="AO121" s="7" t="s">
        <v>238</v>
      </c>
      <c r="AU121" s="1" t="s">
        <v>182</v>
      </c>
    </row>
    <row r="122" spans="24:47" ht="12.75" hidden="1">
      <c r="X122" s="7"/>
      <c r="Y122" s="7">
        <v>9</v>
      </c>
      <c r="Z122" s="12">
        <f>IF(ROUND(AF111,0)=0,"",IF(Z121="",$L$19,ABS(Z121-AC121)))</f>
      </c>
      <c r="AA122" s="65">
        <f>IF(Z122&lt;0.5,0,IF(Z122="",0,IF(AB111=0,$J$16,AB111)))</f>
        <v>0</v>
      </c>
      <c r="AB122" s="65">
        <f>IF(Z122="",0,IF(Z122&lt;0.5,0,IF(Z122&lt;=AF111,AA122+Z122*V70,$L$16)))</f>
        <v>0</v>
      </c>
      <c r="AC122" s="12">
        <f>ABS(AB122-AA122)</f>
        <v>0</v>
      </c>
      <c r="AD122">
        <f>IF($N$16=0,"",IF(Z122="","",IF(ROUND(AC122-$N$16,0)=0,"LOT 4",IF(Z122&lt;0.5,"",IF(AB122-AA122&lt;$N$16,"PARTIAL","NOT")))))</f>
      </c>
      <c r="AF122" s="12">
        <f>IF(Z122="",0,$N$16-AC122-AC111-AC100-AC89)</f>
        <v>0</v>
      </c>
      <c r="AG122" s="7" t="s">
        <v>276</v>
      </c>
      <c r="AH122" s="12">
        <f>IF(AC122=0,"",IF(AND(AI114="",AI115="",AI116="",AI117="",AI118="",AI119="",AI120="",AI121=""),$J$33,IF(AND(AJ114="",AJ115="",AJ116="",AJ117="",AJ118="",AJ119="",AJ120="",AJ121=""),AH121-AI121,"")))</f>
      </c>
      <c r="AI122" s="12">
        <f>IF(AH122="","",IF(AC122&gt;=AH122,AH122,AC122))</f>
      </c>
      <c r="AJ122" s="65">
        <f t="shared" si="37"/>
      </c>
      <c r="AK122" s="7" t="s">
        <v>276</v>
      </c>
      <c r="AL122" s="12">
        <f>IF(AC122=0,"",IF(AND(AM114="",AM115="",AM116="",AM117="",AM118="",AM119="",AM120="",AM121=""),$J$34,IF(AND(AN114="",AN115="",AN116="",AN117="",AN118="",AN119="",AN120="",AN121=""),AL121-AM121,"")))</f>
      </c>
      <c r="AM122" s="12">
        <f>IF(AL122="","",IF(AC122&gt;=AL122,AL122,AC122))</f>
      </c>
      <c r="AN122" s="65">
        <f t="shared" si="39"/>
      </c>
      <c r="AO122" s="7" t="s">
        <v>276</v>
      </c>
      <c r="AU122" s="1"/>
    </row>
    <row r="123" spans="24:47" ht="12.75" hidden="1">
      <c r="X123" s="7"/>
      <c r="Y123" s="7">
        <v>10</v>
      </c>
      <c r="Z123" s="12">
        <f>IF(ROUND(AF112,0)=0,"",IF(Z122="",$L$19,ABS(Z122-AC122)))</f>
      </c>
      <c r="AA123" s="65">
        <f>IF(Z123&lt;0.5,0,IF(Z123="",0,IF(AB112=0,$J$17,AB112)))</f>
        <v>0</v>
      </c>
      <c r="AB123" s="65">
        <f>IF(Z123="",0,IF(Z123&lt;0.5,0,IF(Z123&lt;=AF112,AA123+Z123*V71,$L$17)))</f>
        <v>0</v>
      </c>
      <c r="AC123" s="12">
        <f>ABS(AB123-AA123)</f>
        <v>0</v>
      </c>
      <c r="AD123">
        <f>IF($N$17=0,"",IF(Z123="","",IF(ROUND(AC123-$N$17,0)=0,"LOT 4",IF(Z123&lt;0.5,"",IF(AB123-AA123&lt;$N$17,"PARTIAL","NOT")))))</f>
      </c>
      <c r="AF123" s="12">
        <f>IF(Z123="",0,$N$17-AC123-AC112-AC101-AC90)</f>
        <v>0</v>
      </c>
      <c r="AG123" s="7" t="s">
        <v>296</v>
      </c>
      <c r="AH123" s="12">
        <f>IF(AC123=0,"",IF(AND(AI114="",AI115="",AI116="",AI117="",AI118="",AI119="",AI120="",AI121="",AI122=""),$J$33,IF(AND(AJ114="",AJ115="",AJ116="",AJ117="",AJ118="",AJ119="",AJ120="",AJ121="",AJ122=""),AH122-AI122,"")))</f>
      </c>
      <c r="AI123" s="12">
        <f>IF(AH123="","",IF(AC123&gt;=AH123,AH123,AC123))</f>
      </c>
      <c r="AJ123" s="65">
        <f t="shared" si="37"/>
      </c>
      <c r="AK123" s="7" t="s">
        <v>296</v>
      </c>
      <c r="AL123" s="12">
        <f>IF(AC123=0,"",IF(AND(AM114="",AM115="",AM116="",AM117="",AM118="",AM119="",AM120="",AM121="",AM122=""),$J$34,IF(AND(AN114="",AN115="",AN116="",AN117="",AN118="",AN119="",AN120="",AN121="",AN122=""),AL122-AM122,"")))</f>
      </c>
      <c r="AM123" s="12">
        <f>IF(AL123="","",IF(AC123&gt;=AL123,AL123,AC123))</f>
      </c>
      <c r="AN123" s="65">
        <f t="shared" si="39"/>
      </c>
      <c r="AO123" s="7" t="s">
        <v>296</v>
      </c>
      <c r="AU123" s="1"/>
    </row>
    <row r="124" spans="24:47" ht="12.75" hidden="1">
      <c r="X124" s="7"/>
      <c r="Y124" s="7"/>
      <c r="Z124" s="12"/>
      <c r="AU124" s="1" t="s">
        <v>183</v>
      </c>
    </row>
    <row r="125" spans="24:47" ht="12.75" hidden="1">
      <c r="X125" s="7">
        <v>5</v>
      </c>
      <c r="Y125" s="7">
        <v>1</v>
      </c>
      <c r="Z125" s="12">
        <f>IF($L$18&lt;5,"",(IF(ROUND(AF114,0)=0,"",$L$19)))</f>
      </c>
      <c r="AA125" s="65">
        <f>IF(Z125&lt;0.5,0,IF(Z125="",0,IF(AB114=0,$J$8,AB114)))</f>
        <v>0</v>
      </c>
      <c r="AB125" s="65">
        <f>IF(Z125="",0,IF(Z125&lt;0.5,0,IF(Z125&lt;=AF114,AA125+Z125*V62,$L$8)))</f>
        <v>0</v>
      </c>
      <c r="AC125" s="12">
        <f aca="true" t="shared" si="40" ref="AC125:AC130">ABS(AB125-AA125)</f>
        <v>0</v>
      </c>
      <c r="AD125">
        <f>IF($N$8=0,"",IF(Z125="","",IF(ROUND(AC125-$N$8,0)=0,"LOT 5",IF(Z125&lt;0.5,"",IF(AB125-AA125&lt;$N$8,"PARTIAL","NOT")))))</f>
      </c>
      <c r="AF125" s="12">
        <f>IF(Z125="",0,$N$8-AC125-AC114-AC103-AC92-AC81)</f>
        <v>0</v>
      </c>
      <c r="AG125" s="7" t="s">
        <v>46</v>
      </c>
      <c r="AH125" s="12">
        <f>IF(AC125=0,"",$J$36)</f>
      </c>
      <c r="AI125" s="12">
        <f>IF(AC125=0,"",IF(AC125&gt;=AH125,AH125,AC125))</f>
      </c>
      <c r="AJ125" s="65">
        <f>IF(AH125="","",IF(AI125=AC125,"",AA125+AI125*V62))</f>
      </c>
      <c r="AK125" s="7" t="s">
        <v>46</v>
      </c>
      <c r="AL125" s="12">
        <f>IF(AC125=0,"",$J$37)</f>
      </c>
      <c r="AM125" s="12">
        <f>IF(AC125=0,"",IF(AC125&gt;=AL125,AL125,AC125))</f>
      </c>
      <c r="AN125" s="65">
        <f>IF(AL125="","",IF(AM125=AC125,"",AA125+AM125*V62))</f>
      </c>
      <c r="AO125" s="7" t="s">
        <v>46</v>
      </c>
      <c r="AU125" s="1" t="s">
        <v>184</v>
      </c>
    </row>
    <row r="126" spans="24:47" ht="12.75" hidden="1">
      <c r="X126" s="7"/>
      <c r="Y126" s="7">
        <v>2</v>
      </c>
      <c r="Z126" s="12">
        <f aca="true" t="shared" si="41" ref="Z126:Z132">IF(ROUND(AF115,0)=0,"",IF(Z125="",$L$19,ABS(Z125-AC125)))</f>
      </c>
      <c r="AA126" s="65">
        <f>IF(Z126&lt;0.5,0,IF(Z126="",0,IF(AB115=0,$J$9,AB115)))</f>
        <v>0</v>
      </c>
      <c r="AB126" s="65">
        <f>IF(Z126="",0,IF(Z126&lt;0.5,0,IF(Z126&lt;=AF115,AA126+Z126*V63,$L$9)))</f>
        <v>0</v>
      </c>
      <c r="AC126" s="12">
        <f t="shared" si="40"/>
        <v>0</v>
      </c>
      <c r="AD126">
        <f>IF($N$9=0,"",IF(Z126="","",IF(ROUND(AC126-$N$9,0)=0,"LOT 5",IF(Z126&lt;0.5,"",IF(AB126-AA126&lt;$N$9,"PARTIAL","NOT")))))</f>
      </c>
      <c r="AF126" s="12">
        <f>IF(Z126="",0,$N$9-AC126-AC115-AC104-AC93-AC82)</f>
        <v>0</v>
      </c>
      <c r="AG126" s="7" t="s">
        <v>49</v>
      </c>
      <c r="AH126" s="12">
        <f>IF(AC126=0,"",IF(AI125="",$J$36,IF(AJ125="",AH125-AI125,"")))</f>
      </c>
      <c r="AI126" s="12">
        <f aca="true" t="shared" si="42" ref="AI126:AI132">IF(AH126="","",IF(AC126&gt;=AH126,AH126,AC126))</f>
      </c>
      <c r="AJ126" s="65">
        <f aca="true" t="shared" si="43" ref="AJ126:AJ134">IF(AH126="","",IF(ROUND(AI126-AH126,0)=0,AA126+AI126*V63,IF(AI126=AC126,"",AA126+AI126*V63)))</f>
      </c>
      <c r="AK126" s="7" t="s">
        <v>49</v>
      </c>
      <c r="AL126" s="12">
        <f>IF(AC126=0,"",IF(AM125="",$J$37,IF(AN125="",AL125-AM125,"")))</f>
      </c>
      <c r="AM126" s="12">
        <f aca="true" t="shared" si="44" ref="AM126:AM132">IF(AL126="","",IF(AC126&gt;=AL126,AL126,AC126))</f>
      </c>
      <c r="AN126" s="65">
        <f aca="true" t="shared" si="45" ref="AN126:AN134">IF(AL126="","",IF(ROUND(AM126-AL126,0)=0,AA126+AM126*V63,IF(AM126=AC126,"",AA126+AM126*V63)))</f>
      </c>
      <c r="AO126" s="7" t="s">
        <v>49</v>
      </c>
      <c r="AU126" s="1" t="s">
        <v>185</v>
      </c>
    </row>
    <row r="127" spans="24:47" ht="12.75" hidden="1">
      <c r="X127" s="7"/>
      <c r="Y127" s="7">
        <v>3</v>
      </c>
      <c r="Z127" s="12">
        <f t="shared" si="41"/>
      </c>
      <c r="AA127" s="65">
        <f>IF(Z127&lt;0.5,0,IF(Z127="",0,IF(AB116=0,$J$10,AB116)))</f>
        <v>0</v>
      </c>
      <c r="AB127" s="65">
        <f>IF(Z127="",0,IF(Z127&lt;0.5,0,IF(Z127&lt;=AF116,AA127+Z127*V64,$L$10)))</f>
        <v>0</v>
      </c>
      <c r="AC127" s="12">
        <f t="shared" si="40"/>
        <v>0</v>
      </c>
      <c r="AD127">
        <f>IF($N$10=0,"",IF(Z127="","",IF(ROUND(AC127-$N$10,0)=0,"LOT 5",IF(Z127&lt;0.5,"",IF(AC127&lt;$N$10,"PARTIAL","NOT")))))</f>
      </c>
      <c r="AF127" s="12">
        <f>IF(Z127="",0,$N$10-AC127-AC116-AC105-AC94-AC83)</f>
        <v>0</v>
      </c>
      <c r="AG127" s="7" t="s">
        <v>54</v>
      </c>
      <c r="AH127" s="12">
        <f>IF(AC127=0,"",IF(AND(AI125="",AI126=""),$J$36,IF(AND(AJ125="",AJ126=""),AH126-AI126,"")))</f>
      </c>
      <c r="AI127" s="12">
        <f t="shared" si="42"/>
      </c>
      <c r="AJ127" s="65">
        <f t="shared" si="43"/>
      </c>
      <c r="AK127" s="7" t="s">
        <v>54</v>
      </c>
      <c r="AL127" s="12">
        <f>IF(AC127=0,"",IF(AND(AM125="",AM126=""),$J$37,IF(AND(AN125="",AN126=""),AL126-AM126,"")))</f>
      </c>
      <c r="AM127" s="12">
        <f t="shared" si="44"/>
      </c>
      <c r="AN127" s="65">
        <f t="shared" si="45"/>
      </c>
      <c r="AO127" s="7" t="s">
        <v>54</v>
      </c>
      <c r="AU127" s="1" t="s">
        <v>186</v>
      </c>
    </row>
    <row r="128" spans="24:47" ht="12.75" hidden="1">
      <c r="X128" s="7"/>
      <c r="Y128" s="7">
        <v>4</v>
      </c>
      <c r="Z128" s="12">
        <f t="shared" si="41"/>
      </c>
      <c r="AA128" s="65">
        <f>IF(Z128&lt;0.5,0,IF(Z128="",0,IF(AB117=0,$J$11,AB117)))</f>
        <v>0</v>
      </c>
      <c r="AB128" s="65">
        <f>IF(Z128="",0,IF(Z128&lt;0.5,0,IF(Z128&lt;=AF117,AA128+Z128*V65,$L$11)))</f>
        <v>0</v>
      </c>
      <c r="AC128" s="12">
        <f t="shared" si="40"/>
        <v>0</v>
      </c>
      <c r="AD128">
        <f>IF($N$11=0,"",IF(Z128="","",IF(ROUND(AC128-$N$11,0)=0,"LOT 5",IF(Z128&lt;0.5,"",IF(AB128-AA128&lt;$N$11,"PARTIAL","NOT")))))</f>
      </c>
      <c r="AF128" s="12">
        <f>IF(Z128="",0,$N$11-AC128-AC117-AC106-AC95-AC84)</f>
        <v>0</v>
      </c>
      <c r="AG128" s="7" t="s">
        <v>56</v>
      </c>
      <c r="AH128" s="12">
        <f>IF(AC128=0,"",IF(AND(AI125="",AI126="",AI127=""),$J$36,IF(AND(AJ125="",AJ126="",AJ127=""),AH127-AI127,"")))</f>
      </c>
      <c r="AI128" s="12">
        <f t="shared" si="42"/>
      </c>
      <c r="AJ128" s="65">
        <f t="shared" si="43"/>
      </c>
      <c r="AK128" s="7" t="s">
        <v>56</v>
      </c>
      <c r="AL128" s="12">
        <f>IF(AC128=0,"",IF(AND(AM125="",AM126="",AM127=""),$J$37,IF(AND(AN125="",AN126="",AN127=""),AL127-AM127,"")))</f>
      </c>
      <c r="AM128" s="12">
        <f t="shared" si="44"/>
      </c>
      <c r="AN128" s="65">
        <f t="shared" si="45"/>
      </c>
      <c r="AO128" s="7" t="s">
        <v>56</v>
      </c>
      <c r="AU128" s="1" t="s">
        <v>187</v>
      </c>
    </row>
    <row r="129" spans="24:47" ht="12.75" hidden="1">
      <c r="X129" s="7"/>
      <c r="Y129" s="7">
        <v>5</v>
      </c>
      <c r="Z129" s="12">
        <f t="shared" si="41"/>
      </c>
      <c r="AA129" s="65">
        <f>IF(Z129&lt;0.5,0,IF(Z129="",0,IF(AB118=0,$J$12,AB118)))</f>
        <v>0</v>
      </c>
      <c r="AB129" s="65">
        <f>IF(Z129="",0,IF(Z129&lt;0.5,0,IF(Z129&lt;=AF118,AA129+Z129*V66,$L$12)))</f>
        <v>0</v>
      </c>
      <c r="AC129" s="12">
        <f t="shared" si="40"/>
        <v>0</v>
      </c>
      <c r="AD129">
        <f>IF($N$12=0,"",IF(Z129="","",IF(ROUND(AC129-$N$12,0)=0,"LOT 5",IF(Z129&lt;0.5,"",IF(AB129-AA129&lt;$N$12,"PARTIAL","NOT")))))</f>
      </c>
      <c r="AF129" s="12">
        <f>IF(Z129="",0,$N$12-AC129-AC118-AC107-AC96-AC85)</f>
        <v>0</v>
      </c>
      <c r="AG129" s="7" t="s">
        <v>58</v>
      </c>
      <c r="AH129" s="12">
        <f>IF(AC129=0,"",IF(AND(AI125="",AI126="",AI127="",AI128=""),$J$36,IF(AND(AJ125="",AJ126="",AJ127="",AJ128=""),AH128-AI128,"")))</f>
      </c>
      <c r="AI129" s="12">
        <f t="shared" si="42"/>
      </c>
      <c r="AJ129" s="65">
        <f t="shared" si="43"/>
      </c>
      <c r="AK129" s="7" t="s">
        <v>58</v>
      </c>
      <c r="AL129" s="12">
        <f>IF(AC129=0,"",IF(AND(AM125="",AM126="",AM127="",AM128=""),$J$37,IF(AND(AN125="",AN126="",AN127="",AN128=""),AL128-AM128,"")))</f>
      </c>
      <c r="AM129" s="12">
        <f t="shared" si="44"/>
      </c>
      <c r="AN129" s="65">
        <f t="shared" si="45"/>
      </c>
      <c r="AO129" s="7" t="s">
        <v>58</v>
      </c>
      <c r="AU129" s="1" t="s">
        <v>188</v>
      </c>
    </row>
    <row r="130" spans="24:47" ht="12.75" hidden="1">
      <c r="X130" s="7"/>
      <c r="Y130" s="7">
        <v>6</v>
      </c>
      <c r="Z130" s="12">
        <f t="shared" si="41"/>
      </c>
      <c r="AA130" s="65">
        <f>IF(Z130&lt;0.5,0,IF(Z130="",0,IF(AB119=0,$J$13,AB119)))</f>
        <v>0</v>
      </c>
      <c r="AB130" s="65">
        <f>IF(Z130="",0,IF(Z130&lt;0.5,0,IF(Z130&lt;=AF119,AA130+Z130*V67,$L$13)))</f>
        <v>0</v>
      </c>
      <c r="AC130" s="12">
        <f t="shared" si="40"/>
        <v>0</v>
      </c>
      <c r="AD130">
        <f>IF($N$13=0,"",IF(Z130="","",IF(ROUND(AC130-$N$13,0)=0,"LOT 5",IF(Z130&lt;0.5,"",IF(AB130-AA130&lt;$N$13,"PARTIAL","NOT")))))</f>
      </c>
      <c r="AF130" s="12">
        <f>IF(Z130="",0,$N$13-AC130-AC119-AC108-AC97-AC86)</f>
        <v>0</v>
      </c>
      <c r="AG130" s="7" t="s">
        <v>61</v>
      </c>
      <c r="AH130" s="12">
        <f>IF(AC130=0,"",IF(AND(AI125="",AI126="",AI127="",AI128="",AI129=""),$J$36,IF(AND(AJ125="",AJ126="",AJ127="",AJ128="",AJ129=""),AH129-AI129,"")))</f>
      </c>
      <c r="AI130" s="12">
        <f t="shared" si="42"/>
      </c>
      <c r="AJ130" s="65">
        <f t="shared" si="43"/>
      </c>
      <c r="AK130" s="7" t="s">
        <v>61</v>
      </c>
      <c r="AL130" s="12">
        <f>IF(AC130=0,"",IF(AND(AM125="",AM126="",AM127="",AM128="",AM129=""),$J$37,IF(AND(AN125="",AN126="",AN127="",AN128="",AN129=""),AL129-AM129,"")))</f>
      </c>
      <c r="AM130" s="12">
        <f t="shared" si="44"/>
      </c>
      <c r="AN130" s="65">
        <f t="shared" si="45"/>
      </c>
      <c r="AO130" s="7" t="s">
        <v>61</v>
      </c>
      <c r="AU130" s="1" t="s">
        <v>189</v>
      </c>
    </row>
    <row r="131" spans="24:47" ht="12.75" hidden="1">
      <c r="X131" s="7"/>
      <c r="Y131" s="7">
        <v>7</v>
      </c>
      <c r="Z131" s="12">
        <f t="shared" si="41"/>
      </c>
      <c r="AA131" s="65">
        <f>IF(Z131&lt;0.5,0,IF(Z131="",0,IF(AB120=0,$J$14,AB120)))</f>
        <v>0</v>
      </c>
      <c r="AB131" s="65">
        <f>IF(Z131="",0,IF(Z131&lt;0.5,0,IF(Z131&lt;=AF120,AA131+Z131*V68,$L$14)))</f>
        <v>0</v>
      </c>
      <c r="AC131" s="12">
        <f>ABS(AB131-AA131)</f>
        <v>0</v>
      </c>
      <c r="AD131">
        <f>IF($N$14=0,"",IF(Z131="","",IF(ROUND(AC131-$N$14,0)=0,"LOT 5",IF(Z131&lt;0.5,"",IF(AB131-AA131&lt;$N$14,"PARTIAL","NOT")))))</f>
      </c>
      <c r="AF131" s="12">
        <f>IF(Z131="",0,$N$14-AC131-AC120-AC109-AC98-AC87)</f>
        <v>0</v>
      </c>
      <c r="AG131" s="7" t="s">
        <v>237</v>
      </c>
      <c r="AH131" s="12">
        <f>IF(AC131=0,"",IF(AND(AI125="",AI126="",AI127="",AI128="",AI129="",AI130=""),$J$36,IF(AND(AJ125="",AJ126="",AJ127="",AJ128="",AJ129="",AJ130=""),AH130-AI130,"")))</f>
      </c>
      <c r="AI131" s="12">
        <f t="shared" si="42"/>
      </c>
      <c r="AJ131" s="65">
        <f t="shared" si="43"/>
      </c>
      <c r="AK131" s="7" t="s">
        <v>237</v>
      </c>
      <c r="AL131" s="12">
        <f>IF(AC131=0,"",IF(AND(AM125="",AM126="",AM127="",AM128="",AM129="",AM130=""),$J$37,IF(AND(AN125="",AN126="",AN127="",AN128="",AN129="",AN130=""),AL130-AM130,"")))</f>
      </c>
      <c r="AM131" s="12">
        <f t="shared" si="44"/>
      </c>
      <c r="AN131" s="65">
        <f t="shared" si="45"/>
      </c>
      <c r="AO131" s="7" t="s">
        <v>237</v>
      </c>
      <c r="AU131" s="1" t="s">
        <v>263</v>
      </c>
    </row>
    <row r="132" spans="24:47" ht="12.75" hidden="1">
      <c r="X132" s="7"/>
      <c r="Y132" s="7">
        <v>8</v>
      </c>
      <c r="Z132" s="12">
        <f t="shared" si="41"/>
      </c>
      <c r="AA132" s="65">
        <f>IF(Z132&lt;0.5,0,IF(Z132="",0,IF(AB121=0,$J$15,AB121)))</f>
        <v>0</v>
      </c>
      <c r="AB132" s="65">
        <f>IF(Z132="",0,IF(Z132&lt;0.5,0,IF(Z132&lt;=AF121,AA132+Z132*V69,$L$15)))</f>
        <v>0</v>
      </c>
      <c r="AC132" s="12">
        <f>ABS(AB132-AA132)</f>
        <v>0</v>
      </c>
      <c r="AD132">
        <f>IF($N$15=0,"",IF(Z132="","",IF(ROUND(AC132-$N$15,0)=0,"LOT 5",IF(Z132&lt;0.5,"",IF(AB132-AA132&lt;$N$15,"PARTIAL","NOT")))))</f>
      </c>
      <c r="AF132" s="12">
        <f>IF(Z132="",0,$N$15-AC132-AC121-AC110-AC99-AC88)</f>
        <v>0</v>
      </c>
      <c r="AG132" s="7" t="s">
        <v>238</v>
      </c>
      <c r="AH132" s="12">
        <f>IF(AC132=0,"",IF(AND(AI125="",AI126="",AI127="",AI128="",AI129="",AI130="",AI131=""),$J$36,IF(AND(AJ125="",AJ126="",AJ127="",AJ128="",AJ129="",AJ130="",AJ131=""),AH131-AI131,"")))</f>
      </c>
      <c r="AI132" s="12">
        <f t="shared" si="42"/>
      </c>
      <c r="AJ132" s="65">
        <f t="shared" si="43"/>
      </c>
      <c r="AK132" s="7" t="s">
        <v>238</v>
      </c>
      <c r="AL132" s="12">
        <f>IF(AC132=0,"",IF(AND(AM125="",AM126="",AM127="",AM128="",AM129="",AM130="",AM131=""),$J$37,IF(AND(AN125="",AN126="",AN127="",AN128="",AN129="",AN130="",AN131=""),AL131-AM131,"")))</f>
      </c>
      <c r="AM132" s="12">
        <f t="shared" si="44"/>
      </c>
      <c r="AN132" s="65">
        <f t="shared" si="45"/>
      </c>
      <c r="AO132" s="7" t="s">
        <v>238</v>
      </c>
      <c r="AU132" s="1" t="s">
        <v>264</v>
      </c>
    </row>
    <row r="133" spans="24:47" ht="12.75" hidden="1">
      <c r="X133" s="7"/>
      <c r="Y133" s="7">
        <v>9</v>
      </c>
      <c r="Z133" s="12">
        <f>IF(ROUND(AF122,0)=0,"",IF(Z132="",$L$19,ABS(Z132-AC132)))</f>
      </c>
      <c r="AA133" s="65">
        <f>IF(Z133&lt;0.5,0,IF(Z133="",0,IF(AB122=0,$J$16,AB122)))</f>
        <v>0</v>
      </c>
      <c r="AB133" s="65">
        <f>IF(Z133="",0,IF(Z133&lt;0.5,0,IF(Z133&lt;=AF122,AA133+Z133*V70,$L$16)))</f>
        <v>0</v>
      </c>
      <c r="AC133" s="12">
        <f>ABS(AB133-AA133)</f>
        <v>0</v>
      </c>
      <c r="AD133">
        <f>IF($N$16=0,"",IF(Z133="","",IF(ROUND(AC133-$N$16,0)=0,"LOT 5",IF(Z133&lt;0.5,"",IF(AB133-AA133&lt;$N$16,"PARTIAL","NOT")))))</f>
      </c>
      <c r="AF133" s="12">
        <f>IF(Z133="",0,$N$16-AC133-AC122-AC111-AC100-AC89)</f>
        <v>0</v>
      </c>
      <c r="AG133" s="7" t="s">
        <v>276</v>
      </c>
      <c r="AH133" s="12">
        <f>IF(AC133=0,"",IF(AND(AI125="",AI126="",AI127="",AI128="",AI129="",AI130="",AI131="",AI132=""),$J$36,IF(AND(AJ125="",AJ126="",AJ127="",AJ128="",AJ129="",AJ130="",AJ131="",AJ132=""),AH132-AI132,"")))</f>
      </c>
      <c r="AI133" s="12">
        <f>IF(AH133="","",IF(AC133&gt;=AH133,AH133,AC133))</f>
      </c>
      <c r="AJ133" s="65">
        <f t="shared" si="43"/>
      </c>
      <c r="AK133" s="7" t="s">
        <v>276</v>
      </c>
      <c r="AL133" s="12">
        <f>IF(AC133=0,"",IF(AND(AM125="",AM126="",AM127="",AM128="",AM129="",AM130="",AM131="",AM132=""),$J$37,IF(AND(AN125="",AN126="",AN127="",AN128="",AN129="",AN130="",AN131="",AN132=""),AL132-AM132,"")))</f>
      </c>
      <c r="AM133" s="12">
        <f>IF(AL133="","",IF(AC133&gt;=AL133,AL133,AC133))</f>
      </c>
      <c r="AN133" s="65">
        <f t="shared" si="45"/>
      </c>
      <c r="AO133" s="7" t="s">
        <v>276</v>
      </c>
      <c r="AU133" s="1"/>
    </row>
    <row r="134" spans="24:47" ht="12.75" hidden="1">
      <c r="X134" s="7"/>
      <c r="Y134" s="7">
        <v>10</v>
      </c>
      <c r="Z134" s="12">
        <f>IF(ROUND(AF123,0)=0,"",IF(Z133="",$L$19,ABS(Z133-AC133)))</f>
      </c>
      <c r="AA134" s="65">
        <f>IF(Z134&lt;0.5,0,IF(Z134="",0,IF(AB123=0,$J$17,AB123)))</f>
        <v>0</v>
      </c>
      <c r="AB134" s="65">
        <f>IF(Z134="",0,IF(Z134&lt;0.5,0,IF(Z134&lt;=AF123,AA134+Z134*V71,$L$17)))</f>
        <v>0</v>
      </c>
      <c r="AC134" s="12">
        <f>ABS(AB134-AA134)</f>
        <v>0</v>
      </c>
      <c r="AD134">
        <f>IF($N$17=0,"",IF(Z134="","",IF(ROUND(AC134-$N$17,0)=0,"LOT 5",IF(Z134&lt;0.5,"",IF(AB134-AA134&lt;$N$17,"PARTIAL","NOT")))))</f>
      </c>
      <c r="AF134" s="12">
        <f>IF(Z134="",0,$N$17-AC134-AC123-AC112-AC101-AC90)</f>
        <v>0</v>
      </c>
      <c r="AG134" s="7" t="s">
        <v>296</v>
      </c>
      <c r="AH134" s="12">
        <f>IF(AC134=0,"",IF(AND(AI125="",AI126="",AI127="",AI128="",AI129="",AI130="",AI131="",AI132="",AI133=""),$J$36,IF(AND(AJ125="",AJ126="",AJ127="",AJ128="",AJ129="",AJ130="",AJ131="",AJ132="",AJ133=""),AH133-AI133,"")))</f>
      </c>
      <c r="AI134" s="12">
        <f>IF(AH134="","",IF(AC134&gt;=AH134,AH134,AC134))</f>
      </c>
      <c r="AJ134" s="65">
        <f t="shared" si="43"/>
      </c>
      <c r="AK134" s="7" t="s">
        <v>296</v>
      </c>
      <c r="AL134" s="12">
        <f>IF(AC134=0,"",IF(AND(AM125="",AM126="",AM127="",AM128="",AM129="",AM130="",AM131="",AM132="",AM133=""),$J$37,IF(AND(AN125="",AN126="",AN127="",AN128="",AN129="",AN130="",AN131="",AN132="",AN133=""),AL133-AM133,"")))</f>
      </c>
      <c r="AM134" s="12">
        <f>IF(AL134="","",IF(AC134&gt;=AL134,AL134,AC134))</f>
      </c>
      <c r="AN134" s="65">
        <f t="shared" si="45"/>
      </c>
      <c r="AO134" s="7" t="s">
        <v>296</v>
      </c>
      <c r="AU134" s="1"/>
    </row>
    <row r="135" spans="24:47" ht="12.75" hidden="1">
      <c r="X135" s="7"/>
      <c r="Y135" s="7"/>
      <c r="AH135" s="12"/>
      <c r="AI135" s="12"/>
      <c r="AU135" s="1" t="s">
        <v>265</v>
      </c>
    </row>
    <row r="136" spans="24:47" ht="12.75" hidden="1">
      <c r="X136" s="7">
        <v>6</v>
      </c>
      <c r="Y136" s="7">
        <v>1</v>
      </c>
      <c r="Z136" s="12">
        <f>IF($L$18&lt;6,"",(IF(ROUND(AF125,0)=0,"",$L$19)))</f>
      </c>
      <c r="AA136" s="65">
        <f>IF(Z136&lt;0.5,0,IF(Z136="",0,IF(AB125=0,$J$8,AB125)))</f>
        <v>0</v>
      </c>
      <c r="AB136" s="65">
        <f>IF(Z136="",0,IF(Z136&lt;0.5,0,IF(Z136&lt;=AF125,AA136+Z136*V62,$L$8)))</f>
        <v>0</v>
      </c>
      <c r="AC136" s="12">
        <f aca="true" t="shared" si="46" ref="AC136:AC141">ABS(AB136-AA136)</f>
        <v>0</v>
      </c>
      <c r="AD136">
        <f>IF($N$8=0,"",IF(Z136="","",IF(ROUND(AC136-$N$8,0)=0,"LOT 6",IF(Z136&lt;0.5,"",IF(AB136-AA136&lt;$N$8,"PARTIAL","NOT")))))</f>
      </c>
      <c r="AF136" s="12">
        <f>IF(Z136="",0,$N$8-AC136-AC125-AC114-AC103-AC92-AC81)</f>
        <v>0</v>
      </c>
      <c r="AG136" s="7" t="s">
        <v>46</v>
      </c>
      <c r="AH136" s="12">
        <f>IF(AC136=0,"",$J$39)</f>
      </c>
      <c r="AI136" s="12">
        <f>IF(AC136=0,"",IF(AC136&gt;=AH136,AH136,AC136))</f>
      </c>
      <c r="AJ136" s="65">
        <f>IF(AH136="","",IF(AI136=AC136,"",AA136+AI136*V62))</f>
      </c>
      <c r="AK136" s="7" t="s">
        <v>46</v>
      </c>
      <c r="AL136" s="12">
        <f>IF(AC136=0,"",$J$40)</f>
      </c>
      <c r="AM136" s="12">
        <f>IF(AC136=0,"",IF(AC136&gt;=AL136,AL136,AC136))</f>
      </c>
      <c r="AN136" s="65">
        <f>IF(AL136="","",IF(AM136=AC136,"",AA136+AM136*V62))</f>
      </c>
      <c r="AO136" s="7" t="s">
        <v>46</v>
      </c>
      <c r="AU136" s="1" t="s">
        <v>216</v>
      </c>
    </row>
    <row r="137" spans="24:47" ht="12.75" hidden="1">
      <c r="X137" s="7"/>
      <c r="Y137" s="7">
        <v>2</v>
      </c>
      <c r="Z137" s="12">
        <f aca="true" t="shared" si="47" ref="Z137:Z143">IF(ROUND(AF126,0)=0,"",IF(Z136="",$L$19,ABS(Z136-AC136)))</f>
      </c>
      <c r="AA137" s="65">
        <f>IF(Z137&lt;0.5,0,IF(Z137="",0,IF(AB126=0,$J$9,AB126)))</f>
        <v>0</v>
      </c>
      <c r="AB137" s="65">
        <f>IF(Z137="",0,IF(Z137&lt;0.5,0,IF(Z137&lt;=AF126,AA137+Z137*V63,$L$9)))</f>
        <v>0</v>
      </c>
      <c r="AC137" s="12">
        <f t="shared" si="46"/>
        <v>0</v>
      </c>
      <c r="AD137">
        <f>IF($N$9=0,"",IF(Z137="","",IF(ROUND(AC137-$N$9,0)=0,"LOT 6",IF(Z137&lt;0.5,"",IF(AB137-AA137&lt;$N$9,"PARTIAL","NOT")))))</f>
      </c>
      <c r="AF137" s="12">
        <f>IF(Z137="",0,$N$9-AC137-AC126-AC115-AC104-AC93-AC82)</f>
        <v>0</v>
      </c>
      <c r="AG137" s="7" t="s">
        <v>49</v>
      </c>
      <c r="AH137" s="12">
        <f>IF(AC137=0,"",IF(AI136="",$J$39,IF(AJ136="",AH136-AI136,"")))</f>
      </c>
      <c r="AI137" s="12">
        <f aca="true" t="shared" si="48" ref="AI137:AI143">IF(AH137="","",IF(AC137&gt;=AH137,AH137,AC137))</f>
      </c>
      <c r="AJ137" s="65">
        <f aca="true" t="shared" si="49" ref="AJ137:AJ145">IF(AH137="","",IF(ROUND(AI137-AH137,0)=0,AA137+AI137*V63,IF(AI137=AC137,"",AA137+AI137*V63)))</f>
      </c>
      <c r="AK137" s="7" t="s">
        <v>49</v>
      </c>
      <c r="AL137" s="12">
        <f>IF(AC137=0,"",IF(AM136="",$J$40,IF(AN136="",AL136-AM136,"")))</f>
      </c>
      <c r="AM137" s="12">
        <f aca="true" t="shared" si="50" ref="AM137:AM143">IF(AL137="","",IF(AC137&gt;=AL137,AL137,AC137))</f>
      </c>
      <c r="AN137" s="65">
        <f aca="true" t="shared" si="51" ref="AN137:AN145">IF(AL137="","",IF(ROUND(AM137-AL137,0)=0,AA137+AM137*V63,IF(AM137=AC137,"",AA137+AM137*V63)))</f>
      </c>
      <c r="AO137" s="7" t="s">
        <v>49</v>
      </c>
      <c r="AU137" s="1" t="s">
        <v>217</v>
      </c>
    </row>
    <row r="138" spans="24:47" ht="12.75" hidden="1">
      <c r="X138" s="7"/>
      <c r="Y138" s="7">
        <v>3</v>
      </c>
      <c r="Z138" s="12">
        <f t="shared" si="47"/>
      </c>
      <c r="AA138" s="65">
        <f>IF(Z138&lt;0.5,0,IF(Z138="",0,IF(AB127=0,$J$10,AB127)))</f>
        <v>0</v>
      </c>
      <c r="AB138" s="65">
        <f>IF(Z138="",0,IF(Z138&lt;0.5,0,IF(Z138&lt;=AF127,AA138+Z138*V64,$L$10)))</f>
        <v>0</v>
      </c>
      <c r="AC138" s="12">
        <f t="shared" si="46"/>
        <v>0</v>
      </c>
      <c r="AD138">
        <f>IF($N$10=0,"",IF(Z138="","",IF(ROUND(AC138-$N$10,0)=0,"LOT 6",IF(Z138&lt;0.5,"",IF(AC138&lt;$N$10,"PARTIAL","NOT")))))</f>
      </c>
      <c r="AF138" s="12">
        <f>IF(Z138="",0,$N$10-AC138-AC127-AC116-AC105-AC94-AC83)</f>
        <v>0</v>
      </c>
      <c r="AG138" s="7" t="s">
        <v>54</v>
      </c>
      <c r="AH138" s="12">
        <f>IF(AC138=0,"",IF(AND(AI136="",AI137=""),$J$39,IF(AND(AJ136="",AJ137=""),AH137-AI137,"")))</f>
      </c>
      <c r="AI138" s="12">
        <f t="shared" si="48"/>
      </c>
      <c r="AJ138" s="65">
        <f t="shared" si="49"/>
      </c>
      <c r="AK138" s="7" t="s">
        <v>54</v>
      </c>
      <c r="AL138" s="12">
        <f>IF(AC138=0,"",IF(AND(AM136="",AM137=""),$J$40,IF(AND(AN136="",AN137=""),AL137-AM137,"")))</f>
      </c>
      <c r="AM138" s="12">
        <f t="shared" si="50"/>
      </c>
      <c r="AN138" s="65">
        <f t="shared" si="51"/>
      </c>
      <c r="AO138" s="7" t="s">
        <v>54</v>
      </c>
      <c r="AU138" s="1" t="s">
        <v>218</v>
      </c>
    </row>
    <row r="139" spans="24:47" ht="12.75" hidden="1">
      <c r="X139" s="7"/>
      <c r="Y139" s="7">
        <v>4</v>
      </c>
      <c r="Z139" s="12">
        <f t="shared" si="47"/>
      </c>
      <c r="AA139" s="65">
        <f>IF(Z139&lt;0.5,0,IF(Z139="",0,IF(AB128=0,$J$11,AB128)))</f>
        <v>0</v>
      </c>
      <c r="AB139" s="65">
        <f>IF(Z139="",0,IF(Z139&lt;0.5,0,IF(Z139&lt;=AF128,AA139+Z139*V65,$L$11)))</f>
        <v>0</v>
      </c>
      <c r="AC139" s="12">
        <f t="shared" si="46"/>
        <v>0</v>
      </c>
      <c r="AD139">
        <f>IF($N$11=0,"",IF(Z139="","",IF(ROUND(AC139-$N$11,0)=0,"LOT 6",IF(Z139&lt;0.5,"",IF(AB139-AA139&lt;$N$11,"PARTIAL","NOT")))))</f>
      </c>
      <c r="AF139" s="12">
        <f>IF(Z139="",0,$N$11-AC139-AC128-AC117-AC106-AC95-AC84)</f>
        <v>0</v>
      </c>
      <c r="AG139" s="7" t="s">
        <v>56</v>
      </c>
      <c r="AH139" s="12">
        <f>IF(AC139=0,"",IF(AND(AI136="",AI137="",AI138=""),$J$39,IF(AND(AJ136="",AJ137="",AJ138=""),AH138-AI138,"")))</f>
      </c>
      <c r="AI139" s="12">
        <f t="shared" si="48"/>
      </c>
      <c r="AJ139" s="65">
        <f t="shared" si="49"/>
      </c>
      <c r="AK139" s="7" t="s">
        <v>56</v>
      </c>
      <c r="AL139" s="12">
        <f>IF(AC139=0,"",IF(AND(AM136="",AM137="",AM138=""),$J$40,IF(AND(AN136="",AN137="",AN138=""),AL138-AM138,"")))</f>
      </c>
      <c r="AM139" s="12">
        <f t="shared" si="50"/>
      </c>
      <c r="AN139" s="65">
        <f t="shared" si="51"/>
      </c>
      <c r="AO139" s="7" t="s">
        <v>56</v>
      </c>
      <c r="AU139" s="1" t="s">
        <v>219</v>
      </c>
    </row>
    <row r="140" spans="24:47" ht="12.75" hidden="1">
      <c r="X140" s="7"/>
      <c r="Y140" s="7">
        <v>5</v>
      </c>
      <c r="Z140" s="12">
        <f t="shared" si="47"/>
      </c>
      <c r="AA140" s="65">
        <f>IF(Z140&lt;0.5,0,IF(Z140="",0,IF(AB129=0,$J$12,AB129)))</f>
        <v>0</v>
      </c>
      <c r="AB140" s="65">
        <f>IF(Z140="",0,IF(Z140&lt;0.5,0,IF(Z140&lt;=AF129,AA140+Z140*V66,$L$12)))</f>
        <v>0</v>
      </c>
      <c r="AC140" s="12">
        <f t="shared" si="46"/>
        <v>0</v>
      </c>
      <c r="AD140">
        <f>IF($N$12=0,"",IF(Z140="","",IF(ROUND(AC140-$N$12,0)=0,"LOT 6",IF(Z140&lt;0.5,"",IF(AB140-AA140&lt;$N$12,"PARTIAL","NOT")))))</f>
      </c>
      <c r="AF140" s="12">
        <f>IF(Z140="",0,$N$12-AC140-AC129-AC118-AC107-AC96-AC85)</f>
        <v>0</v>
      </c>
      <c r="AG140" s="7" t="s">
        <v>58</v>
      </c>
      <c r="AH140" s="12">
        <f>IF(AC140=0,"",IF(AND(AI136="",AI137="",AI138="",AI139=""),$J$39,IF(AND(AJ136="",AJ137="",AJ138="",AJ139=""),AH139-AI139,"")))</f>
      </c>
      <c r="AI140" s="12">
        <f t="shared" si="48"/>
      </c>
      <c r="AJ140" s="65">
        <f t="shared" si="49"/>
      </c>
      <c r="AK140" s="7" t="s">
        <v>58</v>
      </c>
      <c r="AL140" s="12">
        <f>IF(AC140=0,"",IF(AND(AM136="",AM137="",AM138="",AM139=""),$J$40,IF(AND(AN136="",AN137="",AN138="",AN139=""),AL139-AM139,"")))</f>
      </c>
      <c r="AM140" s="12">
        <f t="shared" si="50"/>
      </c>
      <c r="AN140" s="65">
        <f t="shared" si="51"/>
      </c>
      <c r="AO140" s="7" t="s">
        <v>58</v>
      </c>
      <c r="AU140" s="1" t="s">
        <v>220</v>
      </c>
    </row>
    <row r="141" spans="24:47" ht="12.75" hidden="1">
      <c r="X141" s="7"/>
      <c r="Y141" s="7">
        <v>6</v>
      </c>
      <c r="Z141" s="12">
        <f t="shared" si="47"/>
      </c>
      <c r="AA141" s="65">
        <f>IF(Z141&lt;0.5,0,IF(Z141="",0,IF(AB130=0,$J$13,AB130)))</f>
        <v>0</v>
      </c>
      <c r="AB141" s="65">
        <f>IF(Z141="",0,IF(Z141&lt;0.5,0,IF(Z141&lt;=AF130,AA141+Z141*V67,$L$13)))</f>
        <v>0</v>
      </c>
      <c r="AC141" s="12">
        <f t="shared" si="46"/>
        <v>0</v>
      </c>
      <c r="AD141">
        <f>IF($N$13=0,"",IF(Z141="","",IF(ROUND(AC141-$N$13,0)=0,"LOT 6",IF(Z141&lt;0.5,"",IF(AB141-AA141&lt;$N$13,"PARTIAL","NOT")))))</f>
      </c>
      <c r="AF141" s="12">
        <f>IF(Z141="",0,$N$13-AC141-AC130-AC119-AC108-AC97-AC86)</f>
        <v>0</v>
      </c>
      <c r="AG141" s="7" t="s">
        <v>61</v>
      </c>
      <c r="AH141" s="12">
        <f>IF(AC141=0,"",IF(AND(AI136="",AI137="",AI138="",AI139="",AI140=""),$J$39,IF(AND(AJ136="",AJ137="",AJ138="",AJ139="",AJ140=""),AH140-AI140,"")))</f>
      </c>
      <c r="AI141" s="12">
        <f t="shared" si="48"/>
      </c>
      <c r="AJ141" s="65">
        <f t="shared" si="49"/>
      </c>
      <c r="AK141" s="7" t="s">
        <v>61</v>
      </c>
      <c r="AL141" s="12">
        <f>IF(AC141=0,"",IF(AND(AM136="",AM137="",AM138="",AM139="",AM140=""),$J$40,IF(AND(AN136="",AN137="",AN138="",AN139="",AN140=""),AL140-AM140,"")))</f>
      </c>
      <c r="AM141" s="12">
        <f t="shared" si="50"/>
      </c>
      <c r="AN141" s="65">
        <f t="shared" si="51"/>
      </c>
      <c r="AO141" s="7" t="s">
        <v>61</v>
      </c>
      <c r="AU141" s="1" t="s">
        <v>221</v>
      </c>
    </row>
    <row r="142" spans="24:47" ht="12.75" hidden="1">
      <c r="X142" s="7"/>
      <c r="Y142" s="7">
        <v>7</v>
      </c>
      <c r="Z142" s="12">
        <f t="shared" si="47"/>
      </c>
      <c r="AA142" s="65">
        <f>IF(Z142&lt;0.5,0,IF(Z142="",0,IF(AB131=0,$J$14,AB131)))</f>
        <v>0</v>
      </c>
      <c r="AB142" s="65">
        <f>IF(Z142="",0,IF(Z142&lt;0.5,0,IF(Z142&lt;=AF131,AA142+Z142*V68,$L$14)))</f>
        <v>0</v>
      </c>
      <c r="AC142" s="12">
        <f>ABS(AB142-AA142)</f>
        <v>0</v>
      </c>
      <c r="AD142">
        <f>IF($N$14=0,"",IF(Z142="","",IF(ROUND(AC142-$N$14,0)=0,"LOT 6",IF(Z142&lt;0.5,"",IF(AB142-AA142&lt;$N$14,"PARTIAL","NOT")))))</f>
      </c>
      <c r="AF142" s="12">
        <f>IF(Z142="",0,$N$14-AC142-AC131-AC120-AC109-AC98-AC87)</f>
        <v>0</v>
      </c>
      <c r="AG142" s="7" t="s">
        <v>237</v>
      </c>
      <c r="AH142" s="12">
        <f>IF(AC142=0,"",IF(AND(AI136="",AI137="",AI138="",AI139="",AI140="",AI141=""),$J$39,IF(AND(AJ136="",AJ137="",AJ138="",AJ139="",AJ140="",AJ141=""),AH141-AI141,"")))</f>
      </c>
      <c r="AI142" s="12">
        <f t="shared" si="48"/>
      </c>
      <c r="AJ142" s="65">
        <f t="shared" si="49"/>
      </c>
      <c r="AK142" s="7" t="s">
        <v>237</v>
      </c>
      <c r="AL142" s="12">
        <f>IF(AC142=0,"",IF(AND(AM136="",AM137="",AM138="",AM139="",AM140="",AM141=""),$J$40,IF(AND(AN136="",AN137="",AN138="",AN139="",AN140="",AN141=""),AL141-AM141,"")))</f>
      </c>
      <c r="AM142" s="12">
        <f t="shared" si="50"/>
      </c>
      <c r="AN142" s="65">
        <f t="shared" si="51"/>
      </c>
      <c r="AO142" s="7" t="s">
        <v>237</v>
      </c>
      <c r="AU142" s="1" t="s">
        <v>222</v>
      </c>
    </row>
    <row r="143" spans="24:47" ht="12.75" hidden="1">
      <c r="X143" s="7"/>
      <c r="Y143" s="7">
        <v>8</v>
      </c>
      <c r="Z143" s="12">
        <f t="shared" si="47"/>
      </c>
      <c r="AA143" s="65">
        <f>IF(Z143&lt;0.5,0,IF(Z143="",0,IF(AB132=0,$J$15,AB132)))</f>
        <v>0</v>
      </c>
      <c r="AB143" s="65">
        <f>IF(Z143="",0,IF(Z143&lt;0.5,0,IF(Z143&lt;=AF132,AA143+Z143*V69,$L$15)))</f>
        <v>0</v>
      </c>
      <c r="AC143" s="12">
        <f>ABS(AB143-AA143)</f>
        <v>0</v>
      </c>
      <c r="AD143">
        <f>IF($N$15=0,"",IF(Z143="","",IF(ROUND(AC143-$N$15,0)=0,"LOT 6",IF(Z143&lt;0.5,"",IF(AB143-AA143&lt;$N$15,"PARTIAL","NOT")))))</f>
      </c>
      <c r="AF143" s="12">
        <f>IF(Z143="",0,$N$15-AC143-AC132-AC121-AC110-AC99-AC88)</f>
        <v>0</v>
      </c>
      <c r="AG143" s="7" t="s">
        <v>238</v>
      </c>
      <c r="AH143" s="12">
        <f>IF(AC143=0,"",IF(AND(AI136="",AI137="",AI138="",AI139="",AI140="",AI141="",AI142=""),$J$39,IF(AND(AJ136="",AJ137="",AJ138="",AJ139="",AJ140="",AJ141="",AJ142=""),AH142-AI142,"")))</f>
      </c>
      <c r="AI143" s="12">
        <f t="shared" si="48"/>
      </c>
      <c r="AJ143" s="65">
        <f t="shared" si="49"/>
      </c>
      <c r="AK143" s="7" t="s">
        <v>238</v>
      </c>
      <c r="AL143" s="12">
        <f>IF(AC143=0,"",IF(AND(AM136="",AM137="",AM138="",AM139="",AM140="",AM141="",AM142=""),$J$40,IF(AND(AN136="",AN137="",AN138="",AN139="",AN140="",AN141="",AN142=""),AL142-AM142,"")))</f>
      </c>
      <c r="AM143" s="12">
        <f t="shared" si="50"/>
      </c>
      <c r="AN143" s="65">
        <f t="shared" si="51"/>
      </c>
      <c r="AO143" s="7" t="s">
        <v>238</v>
      </c>
      <c r="AU143" s="174" t="s">
        <v>190</v>
      </c>
    </row>
    <row r="144" spans="24:47" ht="12.75" hidden="1">
      <c r="X144" s="7"/>
      <c r="Y144" s="7">
        <v>9</v>
      </c>
      <c r="Z144" s="12">
        <f>IF(ROUND(AF133,0)=0,"",IF(Z143="",$L$19,ABS(Z143-AC143)))</f>
      </c>
      <c r="AA144" s="65">
        <f>IF(Z144&lt;0.5,0,IF(Z144="",0,IF(AB133=0,$J$16,AB133)))</f>
        <v>0</v>
      </c>
      <c r="AB144" s="65">
        <f>IF(Z144="",0,IF(Z144&lt;0.5,0,IF(Z144&lt;=AF133,AA144+Z144*V70,$L$16)))</f>
        <v>0</v>
      </c>
      <c r="AC144" s="12">
        <f>ABS(AB144-AA144)</f>
        <v>0</v>
      </c>
      <c r="AD144">
        <f>IF($N$16=0,"",IF(Z144="","",IF(ROUND(AC144-$N$16,0)=0,"LOT 6",IF(Z144&lt;0.5,"",IF(AB144-AA144&lt;$N$16,"PARTIAL","NOT")))))</f>
      </c>
      <c r="AF144" s="12">
        <f>IF(Z144="",0,$N$16-AC144-AC133-AC122-AC111-AC100-AC89)</f>
        <v>0</v>
      </c>
      <c r="AG144" s="7" t="s">
        <v>276</v>
      </c>
      <c r="AH144" s="12">
        <f>IF(AC144=0,"",IF(AND(AI136="",AI137="",AI138="",AI139="",AI140="",AI141="",AI142="",AI143=""),$J$39,IF(AND(AJ136="",AJ137="",AJ138="",AJ139="",AJ140="",AJ141="",AJ142="",AJ143=""),AH143-AI143,"")))</f>
      </c>
      <c r="AI144" s="12">
        <f>IF(AH144="","",IF(AC144&gt;=AH144,AH144,AC144))</f>
      </c>
      <c r="AJ144" s="65">
        <f t="shared" si="49"/>
      </c>
      <c r="AK144" s="7" t="s">
        <v>276</v>
      </c>
      <c r="AL144" s="12">
        <f>IF(AC144=0,"",IF(AND(AM136="",AM137="",AM138="",AM139="",AM140="",AM141="",AM142="",AM143=""),$J$40,IF(AND(AN136="",AN137="",AN138="",AN139="",AN140="",AN141="",AN142="",AN143=""),AL143-AM143,"")))</f>
      </c>
      <c r="AM144" s="12">
        <f>IF(AL144="","",IF(AC144&gt;=AL144,AL144,AC144))</f>
      </c>
      <c r="AN144" s="65">
        <f t="shared" si="51"/>
      </c>
      <c r="AO144" s="7" t="s">
        <v>276</v>
      </c>
      <c r="AU144" s="174"/>
    </row>
    <row r="145" spans="24:47" ht="12.75" hidden="1">
      <c r="X145" s="7"/>
      <c r="Y145" s="7">
        <v>10</v>
      </c>
      <c r="Z145" s="12">
        <f>IF(ROUND(AF134,0)=0,"",IF(Z144="",$L$19,ABS(Z144-AC144)))</f>
      </c>
      <c r="AA145" s="65">
        <f>IF(Z145&lt;0.5,0,IF(Z145="",0,IF(AB134=0,$J$17,AB134)))</f>
        <v>0</v>
      </c>
      <c r="AB145" s="65">
        <f>IF(Z145="",0,IF(Z145&lt;0.5,0,IF(Z145&lt;=AF134,AA145+Z145*V71,$L$17)))</f>
        <v>0</v>
      </c>
      <c r="AC145" s="12">
        <f>ABS(AB145-AA145)</f>
        <v>0</v>
      </c>
      <c r="AD145">
        <f>IF($N$17=0,"",IF(Z145="","",IF(ROUND(AC145-$N$17,0)=0,"LOT 6",IF(Z145&lt;0.5,"",IF(AB145-AA145&lt;$N$17,"PARTIAL","NOT")))))</f>
      </c>
      <c r="AF145" s="12">
        <f>IF(Z145="",0,$N$17-AC145-AC134-AC123-AC112-AC101-AC90)</f>
        <v>0</v>
      </c>
      <c r="AG145" s="7" t="s">
        <v>296</v>
      </c>
      <c r="AH145" s="12">
        <f>IF(AC145=0,"",IF(AND(AI136="",AI137="",AI138="",AI139="",AI140="",AI141="",AI142="",AI143="",AI144=""),$J$39,IF(AND(AJ136="",AJ137="",AJ138="",AJ139="",AJ140="",AJ141="",AJ142="",AJ143="",AJ144=""),AH144-AI144,"")))</f>
      </c>
      <c r="AI145" s="12">
        <f>IF(AH145="","",IF(AC145&gt;=AH145,AH145,AC145))</f>
      </c>
      <c r="AJ145" s="65">
        <f t="shared" si="49"/>
      </c>
      <c r="AK145" s="7" t="s">
        <v>296</v>
      </c>
      <c r="AL145" s="12">
        <f>IF(AC145=0,"",IF(AND(AM136="",AM137="",AM138="",AM139="",AM140="",AM141="",AM142="",AM143="",AM144=""),$J$40,IF(AND(AN136="",AN137="",AN138="",AN139="",AN140="",AN141="",AN142="",AN143="",AN144=""),AL144-AM144,"")))</f>
      </c>
      <c r="AM145" s="12">
        <f>IF(AL145="","",IF(AC145&gt;=AL145,AL145,AC145))</f>
      </c>
      <c r="AN145" s="65">
        <f t="shared" si="51"/>
      </c>
      <c r="AO145" s="7" t="s">
        <v>296</v>
      </c>
      <c r="AU145" s="174"/>
    </row>
    <row r="146" spans="24:47" ht="12.75" hidden="1">
      <c r="X146" s="7"/>
      <c r="Y146" s="7"/>
      <c r="AU146" s="1" t="s">
        <v>191</v>
      </c>
    </row>
    <row r="147" spans="24:47" ht="12.75" hidden="1">
      <c r="X147" s="7">
        <v>7</v>
      </c>
      <c r="Y147" s="7">
        <v>1</v>
      </c>
      <c r="Z147" s="12">
        <f>IF($L$18&lt;7,"",(IF(AF136=0,"",$L$19)))</f>
      </c>
      <c r="AA147" s="65">
        <f>IF(Z147&lt;0.5,0,IF(Z147="",0,IF(AB136=0,$J$8,AB136)))</f>
        <v>0</v>
      </c>
      <c r="AB147" s="65">
        <f>IF(Z147="",0,IF(Z147&lt;0.5,0,IF(Z147&lt;=AF136,AA147+Z147*V62,$L$8)))</f>
        <v>0</v>
      </c>
      <c r="AC147" s="12">
        <f aca="true" t="shared" si="52" ref="AC147:AC152">ABS(AB147-AA147)</f>
        <v>0</v>
      </c>
      <c r="AD147">
        <f>IF($N$8=0,"",IF(Z147="","",IF(ROUND(AC147-$N$8,0)=0,"LOT 7",IF(Z147&lt;0.5,"",IF(AB147-AA147&lt;$N$8,"PARTIAL","NOT")))))</f>
      </c>
      <c r="AF147" s="12">
        <f>IF(Z147="",0,$N$8-AC147-AC136-AC125-AC114-AC103-AC92-AC81)</f>
        <v>0</v>
      </c>
      <c r="AG147" s="7" t="s">
        <v>46</v>
      </c>
      <c r="AH147" s="12">
        <f>IF(AC147=0,"",$J$42)</f>
      </c>
      <c r="AI147" s="12">
        <f>IF(AC147=0,"",IF(AC147&gt;=AH147,AH147,AC147))</f>
      </c>
      <c r="AJ147" s="65">
        <f>IF(AH147="","",IF(AI147=AC147,"",AA147+AI147*V62))</f>
      </c>
      <c r="AK147" s="7" t="s">
        <v>46</v>
      </c>
      <c r="AL147" s="12">
        <f>IF(AC147=0,"",$J$43)</f>
      </c>
      <c r="AM147" s="12">
        <f>IF(AC147=0,"",IF(AC147&gt;=AL147,AL147,AC147))</f>
      </c>
      <c r="AN147" s="65">
        <f>IF(AL147="","",IF(AM147=AC147,"",AA147+AM147*V62))</f>
      </c>
      <c r="AO147" s="7" t="s">
        <v>46</v>
      </c>
      <c r="AU147" s="1" t="s">
        <v>192</v>
      </c>
    </row>
    <row r="148" spans="24:47" ht="12.75" hidden="1">
      <c r="X148" s="7"/>
      <c r="Y148" s="7">
        <v>2</v>
      </c>
      <c r="Z148" s="12">
        <f>IF(AF137=0,"",IF(Z147="",$L$19,ABS(Z147-AC147)))</f>
      </c>
      <c r="AA148" s="65">
        <f>IF(Z148&lt;0.5,0,IF(Z148="",0,IF(AB137=0,$J$9,AB137)))</f>
        <v>0</v>
      </c>
      <c r="AB148" s="65">
        <f>IF(Z148="",0,IF(Z148&lt;0.5,0,IF(Z148&lt;=AF137,AA148+Z148*V63,$L$9)))</f>
        <v>0</v>
      </c>
      <c r="AC148" s="12">
        <f t="shared" si="52"/>
        <v>0</v>
      </c>
      <c r="AD148">
        <f>IF($N$9=0,"",IF(Z148="","",IF(ROUND(AC148-$N$9,0)=0,"LOT 7",IF(Z148&lt;0.5,"",IF(AB148-AA148&lt;$N$9,"PARTIAL","NOT")))))</f>
      </c>
      <c r="AF148" s="12">
        <f>IF(Z148="",0,$N$9-AC148-AC137-AC126-AC115-AC104-AC93-AC82)</f>
        <v>0</v>
      </c>
      <c r="AG148" s="7" t="s">
        <v>49</v>
      </c>
      <c r="AH148" s="12">
        <f>IF(AC148=0,"",IF(AI147="",$J$42,IF(AJ147="",AH147-AI147,"")))</f>
      </c>
      <c r="AI148" s="12">
        <f aca="true" t="shared" si="53" ref="AI148:AI156">IF(AH148="","",IF(AC148&gt;=AH148,AH148,AC148))</f>
      </c>
      <c r="AJ148" s="65">
        <f aca="true" t="shared" si="54" ref="AJ148:AJ156">IF(AH148="","",IF(ROUND(AI148-AH148,0)=0,AA148+AI148*V63,IF(AI148=AC148,"",AA148+AI148*V63)))</f>
      </c>
      <c r="AK148" s="7" t="s">
        <v>49</v>
      </c>
      <c r="AL148" s="12">
        <f>IF(AC148=0,"",IF(AM147="",$J$43,IF(AN147="",AL147-AM147,"")))</f>
      </c>
      <c r="AM148" s="12">
        <f aca="true" t="shared" si="55" ref="AM148:AM156">IF(AL148="","",IF(AC148&gt;=AL148,AL148,AC148))</f>
      </c>
      <c r="AN148" s="65">
        <f aca="true" t="shared" si="56" ref="AN148:AN156">IF(AL148="","",IF(ROUND(AM148-AL148,0)=0,AA148+AM148*V63,IF(AM148=AC148,"",AA148+AM148*V63)))</f>
      </c>
      <c r="AO148" s="7" t="s">
        <v>49</v>
      </c>
      <c r="AU148" s="1" t="s">
        <v>193</v>
      </c>
    </row>
    <row r="149" spans="24:47" ht="12.75" hidden="1">
      <c r="X149" s="7"/>
      <c r="Y149" s="7">
        <v>3</v>
      </c>
      <c r="Z149" s="12">
        <f>IF(AF138=0,"",IF(Z148="",$L$19,ABS(Z148-AC148)))</f>
      </c>
      <c r="AA149" s="65">
        <f>IF(Z149&lt;0.5,0,IF(Z149="",0,IF(AB138=0,$J$10,AB138)))</f>
        <v>0</v>
      </c>
      <c r="AB149" s="65">
        <f>IF(Z149="",0,IF(Z149&lt;0.5,0,IF(Z149&lt;=AF138,AA149+Z149*V64,$L$10)))</f>
        <v>0</v>
      </c>
      <c r="AC149" s="12">
        <f t="shared" si="52"/>
        <v>0</v>
      </c>
      <c r="AD149">
        <f>IF($N$10=0,"",IF(Z149="","",IF(ROUND(AC149-$N$10,0)=0,"LOT 7",IF(Z149&lt;0.5,"",IF(AC149&lt;$N$10,"PARTIAL","NOT")))))</f>
      </c>
      <c r="AF149" s="12">
        <f>IF(Z149="",0,$N$10-AC149-AC138-AC127-AC116-AC105-AC94-AC83)</f>
        <v>0</v>
      </c>
      <c r="AG149" s="7" t="s">
        <v>54</v>
      </c>
      <c r="AH149" s="12">
        <f>IF(AC149=0,"",IF(AND(AI147="",AI148=""),$J$42,IF(AND(AJ147="",AJ148=""),AH148-AI148,"")))</f>
      </c>
      <c r="AI149" s="12">
        <f t="shared" si="53"/>
      </c>
      <c r="AJ149" s="65">
        <f t="shared" si="54"/>
      </c>
      <c r="AK149" s="7" t="s">
        <v>54</v>
      </c>
      <c r="AL149" s="12">
        <f>IF(AC149=0,"",IF(AND(AM147="",AM148=""),$J$43,IF(AND(AN147="",AN148=""),AL148-AM148,"")))</f>
      </c>
      <c r="AM149" s="12">
        <f t="shared" si="55"/>
      </c>
      <c r="AN149" s="65">
        <f t="shared" si="56"/>
      </c>
      <c r="AO149" s="7" t="s">
        <v>54</v>
      </c>
      <c r="AU149" s="1" t="s">
        <v>194</v>
      </c>
    </row>
    <row r="150" spans="24:47" ht="12.75" hidden="1">
      <c r="X150" s="7"/>
      <c r="Y150" s="7">
        <v>4</v>
      </c>
      <c r="Z150" s="12">
        <f>IF(AF139=0,"",IF(Z149="",$L$19,ABS(Z149-AC149)))</f>
      </c>
      <c r="AA150" s="65">
        <f>IF(Z150&lt;0.5,0,IF(Z150="",0,IF(AB139=0,$J$11,AB139)))</f>
        <v>0</v>
      </c>
      <c r="AB150" s="65">
        <f>IF(Z150="",0,IF(Z150&lt;0.5,0,IF(Z150&lt;=AF139,AA150+Z150*V65,$L$11)))</f>
        <v>0</v>
      </c>
      <c r="AC150" s="12">
        <f t="shared" si="52"/>
        <v>0</v>
      </c>
      <c r="AD150">
        <f>IF($N$11=0,"",IF(Z150="","",IF(ROUND(AC150-$N$11,0)=0,"LOT 7",IF(Z150&lt;0.5,"",IF(AB150-AA150&lt;$N$11,"PARTIAL","NOT")))))</f>
      </c>
      <c r="AF150" s="12">
        <f>IF(Z150="",0,$N$11-AC150-AC139-AC128-AC117-AC106-AC95-AC84)</f>
        <v>0</v>
      </c>
      <c r="AG150" s="7" t="s">
        <v>56</v>
      </c>
      <c r="AH150" s="12">
        <f>IF(AC150=0,"",IF(AND(AI147="",AI148="",AI149=""),$J$42,IF(AND(AJ147="",AJ148="",AJ149=""),AH149-AI149,"")))</f>
      </c>
      <c r="AI150" s="12">
        <f t="shared" si="53"/>
      </c>
      <c r="AJ150" s="65">
        <f t="shared" si="54"/>
      </c>
      <c r="AK150" s="7" t="s">
        <v>56</v>
      </c>
      <c r="AL150" s="12">
        <f>IF(AC150=0,"",IF(AND(AM147="",AM148="",AM149=""),$J$43,IF(AND(AN147="",AN148="",AN149=""),AL149-AM149,"")))</f>
      </c>
      <c r="AM150" s="12">
        <f t="shared" si="55"/>
      </c>
      <c r="AN150" s="65">
        <f t="shared" si="56"/>
      </c>
      <c r="AO150" s="7" t="s">
        <v>56</v>
      </c>
      <c r="AU150" s="1" t="s">
        <v>195</v>
      </c>
    </row>
    <row r="151" spans="24:47" ht="12.75" hidden="1">
      <c r="X151" s="7"/>
      <c r="Y151" s="7">
        <v>5</v>
      </c>
      <c r="Z151" s="12">
        <f>IF(AF140=0,"",IF(Z150="",$L$19,ABS(Z150-AC150)))</f>
      </c>
      <c r="AA151" s="65">
        <f>IF(Z151&lt;0.5,0,IF(Z151="",0,IF(AB140=0,$J$12,AB140)))</f>
        <v>0</v>
      </c>
      <c r="AB151" s="65">
        <f>IF(Z151="",0,IF(Z151&lt;0.5,0,IF(Z151&lt;=AF140,AA151+Z151*V66,$L$12)))</f>
        <v>0</v>
      </c>
      <c r="AC151" s="12">
        <f t="shared" si="52"/>
        <v>0</v>
      </c>
      <c r="AD151">
        <f>IF($N$12=0,"",IF(Z151="","",IF(ROUND(AC151-$N$12,0)=0,"LOT 7",IF(Z151&lt;0.5,"",IF(AB151-AA151&lt;$N$12,"PARTIAL","NOT")))))</f>
      </c>
      <c r="AF151" s="12">
        <f>IF(Z151="",0,$N$12-AC151-AC140-AC129-AC118-AC107-AC96-AC85)</f>
        <v>0</v>
      </c>
      <c r="AG151" s="7" t="s">
        <v>58</v>
      </c>
      <c r="AH151" s="12">
        <f>IF(AC151=0,"",IF(AND(AI147="",AI148="",AI149="",AI150=""),$J$42,IF(AND(AJ147="",AJ148="",AJ149="",AJ150=""),AH150-AI150,"")))</f>
      </c>
      <c r="AI151" s="12">
        <f t="shared" si="53"/>
      </c>
      <c r="AJ151" s="65">
        <f t="shared" si="54"/>
      </c>
      <c r="AK151" s="7" t="s">
        <v>58</v>
      </c>
      <c r="AL151" s="12">
        <f>IF(AC151=0,"",IF(AND(AM147="",AM148="",AM149="",AM150=""),$J$43,IF(AND(AN147="",AN148="",AN149="",AN150=""),AL150-AM150,"")))</f>
      </c>
      <c r="AM151" s="12">
        <f t="shared" si="55"/>
      </c>
      <c r="AN151" s="65">
        <f t="shared" si="56"/>
      </c>
      <c r="AO151" s="7" t="s">
        <v>58</v>
      </c>
      <c r="AU151" s="1" t="s">
        <v>196</v>
      </c>
    </row>
    <row r="152" spans="24:47" ht="12.75" hidden="1">
      <c r="X152" s="7"/>
      <c r="Y152" s="7">
        <v>6</v>
      </c>
      <c r="Z152" s="12">
        <f>IF(ROUND(AF141,0)=0,"",IF(Z151="",$L$19,ABS(Z151-AC151)))</f>
      </c>
      <c r="AA152" s="65">
        <f>IF(Z152&lt;0.5,0,IF(Z152="",0,IF(AB141=0,$J$13,AB141)))</f>
        <v>0</v>
      </c>
      <c r="AB152" s="65">
        <f>IF(Z152="",0,IF(Z152&lt;0.5,0,IF(Z152&lt;=AF141,AA152+Z152*V67,$L$13)))</f>
        <v>0</v>
      </c>
      <c r="AC152" s="12">
        <f t="shared" si="52"/>
        <v>0</v>
      </c>
      <c r="AD152">
        <f>IF($N$13=0,"",IF(Z152="","",IF(ROUND(AC152-$N$13,0)=0,"LOT 7",IF(Z152&lt;0.5,"",IF(AB152-AA152&lt;$N$13,"PARTIAL","NOT")))))</f>
      </c>
      <c r="AF152" s="12">
        <f>IF(Z152="",0,$N$13-AC152-AC141-AC130-AC119-AC108-AC97-AC86)</f>
        <v>0</v>
      </c>
      <c r="AG152" s="7" t="s">
        <v>61</v>
      </c>
      <c r="AH152" s="12">
        <f>IF(AC152=0,"",IF(AND(AI147="",AI148="",AI149="",AI150="",AI151=""),$J$42,IF(AND(AJ147="",AJ148="",AJ149="",AJ150="",AJ151=""),AH151-AI151,"")))</f>
      </c>
      <c r="AI152" s="12">
        <f t="shared" si="53"/>
      </c>
      <c r="AJ152" s="65">
        <f t="shared" si="54"/>
      </c>
      <c r="AK152" s="7" t="s">
        <v>61</v>
      </c>
      <c r="AL152" s="12">
        <f>IF(AC152=0,"",IF(AND(AM147="",AM148="",AM149="",AM150="",AM151=""),$J$43,IF(AND(AN147="",AN148="",AN149="",AN150="",AN151=""),AL151-AM151,"")))</f>
      </c>
      <c r="AM152" s="12">
        <f t="shared" si="55"/>
      </c>
      <c r="AN152" s="65">
        <f t="shared" si="56"/>
      </c>
      <c r="AO152" s="7" t="s">
        <v>61</v>
      </c>
      <c r="AU152" s="1" t="s">
        <v>266</v>
      </c>
    </row>
    <row r="153" spans="24:47" ht="12.75" hidden="1">
      <c r="X153" s="7"/>
      <c r="Y153" s="7">
        <v>7</v>
      </c>
      <c r="Z153" s="12">
        <f>IF(ROUND(AF142,0)=0,"",IF(Z152="",$L$19,ABS(Z152-AC152)))</f>
      </c>
      <c r="AA153" s="65">
        <f>IF(Z153&lt;0.5,0,IF(Z153="",0,IF(AB142=0,$J$14,AB142)))</f>
        <v>0</v>
      </c>
      <c r="AB153" s="65">
        <f>IF(Z153="",0,IF(Z153&lt;0.5,0,IF(Z153&lt;=AF142,AA153+Z153*V68,$L$14)))</f>
        <v>0</v>
      </c>
      <c r="AC153" s="12">
        <f>ABS(AB153-AA153)</f>
        <v>0</v>
      </c>
      <c r="AD153">
        <f>IF($N$14=0,"",IF(Z153="","",IF(ROUND(AC153-$N$14,0)=0,"LOT 7",IF(Z153&lt;0.5,"",IF(AB153-AA153&lt;$N$14,"PARTIAL","NOT")))))</f>
      </c>
      <c r="AF153" s="12">
        <f>IF(Z153="",0,$N$14-AC153-AC142-AC131-AC120-AC109-AC98-AC87)</f>
        <v>0</v>
      </c>
      <c r="AG153" s="7" t="s">
        <v>237</v>
      </c>
      <c r="AH153" s="12">
        <f>IF(AC153=0,"",IF(AND(AI147="",AI148="",AI149="",AI150="",AI151="",AI152=""),$J$42,IF(AND(AJ147="",AJ148="",AJ149="",AJ150="",AJ151="",AJ152=""),AH152-AI152,"")))</f>
      </c>
      <c r="AI153" s="12">
        <f t="shared" si="53"/>
      </c>
      <c r="AJ153" s="65">
        <f t="shared" si="54"/>
      </c>
      <c r="AK153" s="7" t="s">
        <v>237</v>
      </c>
      <c r="AL153" s="12">
        <f>IF(AC153=0,"",IF(AND(AM147="",AM148="",AM149="",AM150="",AM151="",AM152=""),$J$43,IF(AND(AN147="",AN148="",AN149="",AN150="",AN151="",AN152=""),AL152-AM152,"")))</f>
      </c>
      <c r="AM153" s="12">
        <f t="shared" si="55"/>
      </c>
      <c r="AN153" s="65">
        <f t="shared" si="56"/>
      </c>
      <c r="AO153" s="7" t="s">
        <v>237</v>
      </c>
      <c r="AU153" s="1" t="s">
        <v>267</v>
      </c>
    </row>
    <row r="154" spans="25:47" ht="12.75" hidden="1">
      <c r="Y154" s="7">
        <v>8</v>
      </c>
      <c r="Z154" s="12">
        <f>IF(ROUND(AF143,0)=0,"",IF(Z153="",$L$19,ABS(Z153-AC153)))</f>
      </c>
      <c r="AA154" s="65">
        <f>IF(Z154&lt;0.5,0,IF(Z154="",0,IF(AB143=0,$J$15,AB143)))</f>
        <v>0</v>
      </c>
      <c r="AB154" s="65">
        <f>IF(Z154="",0,IF(Z154&lt;0.5,0,IF(Z154&lt;=AF143,AA154+Z154*V69,$L$15)))</f>
        <v>0</v>
      </c>
      <c r="AC154" s="12">
        <f>ABS(AB154-AA154)</f>
        <v>0</v>
      </c>
      <c r="AD154">
        <f>IF($N$15=0,"",IF(Z154="","",IF(ROUND(AC154-$N$15,0)=0,"LOT 7",IF(Z154&lt;0.5,"",IF(AB154-AA154&lt;$N$15,"PARTIAL","NOT")))))</f>
      </c>
      <c r="AF154" s="12">
        <f>IF(Z154="",0,$N$15-AC154-AC143-AC132-AC121-AC110-AC99-AC88)</f>
        <v>0</v>
      </c>
      <c r="AG154" s="7" t="s">
        <v>238</v>
      </c>
      <c r="AH154" s="12">
        <f>IF(AC154=0,"",IF(AND(AI147="",AI148="",AI149="",AI150="",AI151="",AI152="",AI153=""),$J$42,IF(AND(AJ147="",AJ148="",AJ149="",AJ150="",AJ151="",AJ152="",AJ153=""),AH153-AI153,"")))</f>
      </c>
      <c r="AI154" s="12">
        <f t="shared" si="53"/>
      </c>
      <c r="AJ154" s="65">
        <f t="shared" si="54"/>
      </c>
      <c r="AK154" s="7" t="s">
        <v>238</v>
      </c>
      <c r="AL154" s="12">
        <f>IF(AC154=0,"",IF(AND(AM147="",AM148="",AM149="",AM150="",AM151="",AM152="",AM153=""),$J$43,IF(AND(AN147="",AN148="",AN149="",AN150="",AN151="",AN152="",AN153=""),AL153-AM153,"")))</f>
      </c>
      <c r="AM154" s="12">
        <f t="shared" si="55"/>
      </c>
      <c r="AN154" s="65">
        <f t="shared" si="56"/>
      </c>
      <c r="AO154" s="7" t="s">
        <v>238</v>
      </c>
      <c r="AU154" s="1" t="s">
        <v>268</v>
      </c>
    </row>
    <row r="155" spans="25:47" ht="12.75" hidden="1">
      <c r="Y155" s="7">
        <v>9</v>
      </c>
      <c r="Z155" s="12">
        <f>IF(ROUND(AF144,0)=0,"",IF(Z154="",$L$19,ABS(Z154-AC154)))</f>
      </c>
      <c r="AA155" s="65">
        <f>IF(Z155&lt;0.5,0,IF(Z155="",0,IF(AB144=0,$J$16,AB144)))</f>
        <v>0</v>
      </c>
      <c r="AB155" s="65">
        <f>IF(Z155="",0,IF(Z155&lt;0.5,0,IF(Z155&lt;=AF144,AA155+Z155*V70,$L$16)))</f>
        <v>0</v>
      </c>
      <c r="AC155" s="12">
        <f>ABS(AB155-AA155)</f>
        <v>0</v>
      </c>
      <c r="AD155">
        <f>IF($N$16=0,"",IF(Z155="","",IF(ROUND(AC155-$N$16,0)=0,"LOT 7",IF(Z155&lt;0.5,"",IF(AB155-AA155&lt;$N$16,"PARTIAL","NOT")))))</f>
      </c>
      <c r="AF155" s="12">
        <f>IF(Z155="",0,$N$16-AC155-AC144-AC133-AC122-AC111-AC100-AC89)</f>
        <v>0</v>
      </c>
      <c r="AG155" s="7" t="s">
        <v>276</v>
      </c>
      <c r="AH155" s="12">
        <f>IF(AC155=0,"",IF(AND(AI147="",AI148="",AI149="",AI150="",AI151="",AI152="",AI153="",AI154=""),$J$42,IF(AND(AJ147="",AJ148="",AJ149="",AJ150="",AJ151="",AJ152="",AJ153="",AJ154=""),AH154-AI154,"")))</f>
      </c>
      <c r="AI155" s="12">
        <f t="shared" si="53"/>
      </c>
      <c r="AJ155" s="65">
        <f t="shared" si="54"/>
      </c>
      <c r="AK155" s="7" t="s">
        <v>276</v>
      </c>
      <c r="AL155" s="12">
        <f>IF(AC155=0,"",IF(AND(AM147="",AM148="",AM149="",AM150="",AM151="",AM152="",AM153="",AM154=""),$J$43,IF(AND(AN147="",AN148="",AN149="",AN150="",AN151="",AN152="",AN153="",AN154=""),AL154-AM154,"")))</f>
      </c>
      <c r="AM155" s="12">
        <f t="shared" si="55"/>
      </c>
      <c r="AN155" s="65">
        <f t="shared" si="56"/>
      </c>
      <c r="AO155" s="7" t="s">
        <v>276</v>
      </c>
      <c r="AU155" s="1" t="s">
        <v>208</v>
      </c>
    </row>
    <row r="156" spans="25:47" ht="12.75" hidden="1">
      <c r="Y156" s="7">
        <v>10</v>
      </c>
      <c r="Z156" s="12">
        <f>IF(ROUND(AF145,0)=0,"",IF(Z155="",$L$19,ABS(Z155-AC155)))</f>
      </c>
      <c r="AA156" s="65">
        <f>IF(Z156&lt;0.5,0,IF(Z156="",0,IF(AB145=0,$J$17,AB145)))</f>
        <v>0</v>
      </c>
      <c r="AB156" s="65">
        <f>IF(Z156="",0,IF(Z156&lt;0.5,0,IF(Z156&lt;=AF145,AA156+Z156*V71,$L$17)))</f>
        <v>0</v>
      </c>
      <c r="AC156" s="12">
        <f>ABS(AB156-AA156)</f>
        <v>0</v>
      </c>
      <c r="AD156">
        <f>IF($N$17=0,"",IF(Z156="","",IF(ROUND(AC156-$N$17,0)=0,"LOT 7",IF(Z156&lt;0.5,"",IF(AB156-AA156&lt;$N$17,"PARTIAL","NOT")))))</f>
      </c>
      <c r="AF156" s="12">
        <f>IF(Z156="",0,$N$17-AC156-AC145-AC134-AC123-AC112-AC101-AC90)</f>
        <v>0</v>
      </c>
      <c r="AG156" s="7" t="s">
        <v>296</v>
      </c>
      <c r="AH156" s="12">
        <f>IF(AC156=0,"",IF(AND(AI147="",AI148="",AI149="",AI150="",AI151="",AI152="",AI153="",AI154="",AI155=""),$J$42,IF(AND(AJ147="",AJ148="",AJ149="",AJ150="",AJ151="",AJ152="",AJ153="",AJ154="",AJ155=""),AH155-AI155,"")))</f>
      </c>
      <c r="AI156" s="12">
        <f t="shared" si="53"/>
      </c>
      <c r="AJ156" s="65">
        <f t="shared" si="54"/>
      </c>
      <c r="AK156" s="7" t="s">
        <v>296</v>
      </c>
      <c r="AL156" s="12">
        <f>IF(AC156=0,"",IF(AND(AM147="",AM148="",AM149="",AM150="",AM151="",AM152="",AM153="",AM154="",AM155=""),$J$43,IF(AND(AN147="",AN148="",AN149="",AN150="",AN151="",AN152="",AN153="",AN154="",AN155=""),AL155-AM155,"")))</f>
      </c>
      <c r="AM156" s="12">
        <f t="shared" si="55"/>
      </c>
      <c r="AN156" s="65">
        <f t="shared" si="56"/>
      </c>
      <c r="AO156" s="7" t="s">
        <v>296</v>
      </c>
      <c r="AU156" s="1" t="s">
        <v>209</v>
      </c>
    </row>
    <row r="157" spans="26:47" ht="12.75" hidden="1">
      <c r="Z157" s="12"/>
      <c r="AC157" s="12"/>
      <c r="AF157" s="12"/>
      <c r="AU157" s="1" t="s">
        <v>210</v>
      </c>
    </row>
    <row r="158" ht="12.75" hidden="1">
      <c r="AU158" s="1" t="s">
        <v>211</v>
      </c>
    </row>
    <row r="159" ht="12.75" hidden="1">
      <c r="AU159" s="1" t="s">
        <v>212</v>
      </c>
    </row>
    <row r="160" ht="12.75" hidden="1">
      <c r="AU160" s="1" t="s">
        <v>213</v>
      </c>
    </row>
    <row r="161" ht="12.75" hidden="1">
      <c r="AU161" s="1" t="s">
        <v>214</v>
      </c>
    </row>
    <row r="162" ht="12.75" hidden="1">
      <c r="AU162" s="174" t="s">
        <v>224</v>
      </c>
    </row>
    <row r="163" ht="12.75" hidden="1">
      <c r="AU163" s="1" t="s">
        <v>223</v>
      </c>
    </row>
    <row r="164" ht="12.75" hidden="1">
      <c r="AU164" s="1" t="s">
        <v>225</v>
      </c>
    </row>
    <row r="165" ht="12.75" hidden="1">
      <c r="AU165" s="1" t="s">
        <v>226</v>
      </c>
    </row>
    <row r="166" ht="12.75" hidden="1">
      <c r="AU166" s="1" t="s">
        <v>227</v>
      </c>
    </row>
    <row r="167" ht="12.75" hidden="1">
      <c r="AU167" s="1" t="s">
        <v>228</v>
      </c>
    </row>
    <row r="168" ht="12.75" hidden="1">
      <c r="AU168" s="1" t="s">
        <v>229</v>
      </c>
    </row>
    <row r="169" ht="12.75" hidden="1">
      <c r="AU169" s="1" t="s">
        <v>269</v>
      </c>
    </row>
    <row r="170" ht="12.75" hidden="1">
      <c r="AU170" s="1" t="s">
        <v>270</v>
      </c>
    </row>
    <row r="171" ht="12.75" hidden="1">
      <c r="AU171" s="1" t="s">
        <v>271</v>
      </c>
    </row>
    <row r="172" ht="12.75" hidden="1">
      <c r="AU172" s="1" t="s">
        <v>201</v>
      </c>
    </row>
    <row r="173" ht="12.75" hidden="1">
      <c r="AU173" s="1" t="s">
        <v>202</v>
      </c>
    </row>
    <row r="174" ht="12.75" hidden="1">
      <c r="AU174" s="1" t="s">
        <v>203</v>
      </c>
    </row>
    <row r="175" ht="12.75" hidden="1">
      <c r="AU175" s="1" t="s">
        <v>204</v>
      </c>
    </row>
    <row r="176" ht="12.75" hidden="1">
      <c r="AU176" s="1" t="s">
        <v>205</v>
      </c>
    </row>
    <row r="177" ht="12.75" hidden="1">
      <c r="AU177" s="1" t="s">
        <v>206</v>
      </c>
    </row>
    <row r="178" ht="12.75" hidden="1">
      <c r="AU178" s="1" t="s">
        <v>207</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sheetData>
  <sheetProtection password="D86C" sheet="1" objects="1" scenarios="1" selectLockedCells="1" selectUnlockedCells="1"/>
  <mergeCells count="54">
    <mergeCell ref="AL77:AN77"/>
    <mergeCell ref="L50:M51"/>
    <mergeCell ref="K50:K51"/>
    <mergeCell ref="E38:F38"/>
    <mergeCell ref="E41:F41"/>
    <mergeCell ref="H44:M47"/>
    <mergeCell ref="AH76:AJ77"/>
    <mergeCell ref="F14:G14"/>
    <mergeCell ref="F15:G15"/>
    <mergeCell ref="H14:I14"/>
    <mergeCell ref="H15:I15"/>
    <mergeCell ref="D16:E16"/>
    <mergeCell ref="D17:E17"/>
    <mergeCell ref="D14:E14"/>
    <mergeCell ref="D15:E15"/>
    <mergeCell ref="D10:E10"/>
    <mergeCell ref="D11:E11"/>
    <mergeCell ref="D12:E12"/>
    <mergeCell ref="D13:E13"/>
    <mergeCell ref="M5:N5"/>
    <mergeCell ref="J5:K5"/>
    <mergeCell ref="D8:E8"/>
    <mergeCell ref="D9:E9"/>
    <mergeCell ref="J6:K6"/>
    <mergeCell ref="H5:I5"/>
    <mergeCell ref="H6:I6"/>
    <mergeCell ref="E5:G5"/>
    <mergeCell ref="E6:G6"/>
    <mergeCell ref="D7:E7"/>
    <mergeCell ref="H18:I18"/>
    <mergeCell ref="H19:I19"/>
    <mergeCell ref="H8:I8"/>
    <mergeCell ref="F7:G7"/>
    <mergeCell ref="F8:G8"/>
    <mergeCell ref="F13:G13"/>
    <mergeCell ref="H9:I9"/>
    <mergeCell ref="H10:I10"/>
    <mergeCell ref="H11:I11"/>
    <mergeCell ref="H12:I12"/>
    <mergeCell ref="H13:I13"/>
    <mergeCell ref="F9:G9"/>
    <mergeCell ref="F10:G10"/>
    <mergeCell ref="F11:G11"/>
    <mergeCell ref="F12:G12"/>
    <mergeCell ref="E35:F35"/>
    <mergeCell ref="I2:L2"/>
    <mergeCell ref="J20:K20"/>
    <mergeCell ref="E26:F26"/>
    <mergeCell ref="E29:F29"/>
    <mergeCell ref="E32:F32"/>
    <mergeCell ref="F16:G16"/>
    <mergeCell ref="H16:I16"/>
    <mergeCell ref="F17:G17"/>
    <mergeCell ref="H17:I17"/>
  </mergeCells>
  <dataValidations count="3">
    <dataValidation type="list" allowBlank="1" showInputMessage="1" showErrorMessage="1" sqref="P14:P17">
      <formula1>$AS$83:$AS$92</formula1>
    </dataValidation>
    <dataValidation type="list" allowBlank="1" showInputMessage="1" showErrorMessage="1" sqref="P19">
      <formula1>$AU$83:$AU$166</formula1>
    </dataValidation>
    <dataValidation type="list" allowBlank="1" showInputMessage="1" showErrorMessage="1" sqref="P13">
      <formula1>$AS$83:$AS$95</formula1>
    </dataValidation>
  </dataValidations>
  <printOptions horizontalCentered="1" verticalCentered="1"/>
  <pageMargins left="0.25" right="0.27" top="0.25" bottom="0.25" header="0.5" footer="0.5"/>
  <pageSetup blackAndWhite="1" fitToHeight="1" fitToWidth="1" horizontalDpi="300" verticalDpi="300" orientation="landscape" scale="91" r:id="rId3"/>
  <colBreaks count="1" manualBreakCount="1">
    <brk id="16" max="65535" man="1"/>
  </colBreaks>
  <legacyDrawing r:id="rId2"/>
</worksheet>
</file>

<file path=xl/worksheets/sheet8.xml><?xml version="1.0" encoding="utf-8"?>
<worksheet xmlns="http://schemas.openxmlformats.org/spreadsheetml/2006/main" xmlns:r="http://schemas.openxmlformats.org/officeDocument/2006/relationships">
  <sheetPr codeName="Sheet4">
    <pageSetUpPr fitToPage="1"/>
  </sheetPr>
  <dimension ref="A1:O41"/>
  <sheetViews>
    <sheetView zoomScale="75" zoomScaleNormal="75" workbookViewId="0" topLeftCell="A1">
      <selection activeCell="K28" sqref="K28"/>
    </sheetView>
  </sheetViews>
  <sheetFormatPr defaultColWidth="9.140625" defaultRowHeight="12.75"/>
  <cols>
    <col min="1" max="1" width="7.421875" style="0" customWidth="1"/>
    <col min="4" max="4" width="10.7109375" style="0" bestFit="1" customWidth="1"/>
    <col min="5" max="5" width="10.421875" style="0" bestFit="1" customWidth="1"/>
    <col min="6" max="6" width="10.28125" style="0" customWidth="1"/>
    <col min="7" max="7" width="12.28125" style="0" bestFit="1" customWidth="1"/>
    <col min="11" max="11" width="12.8515625" style="0" bestFit="1" customWidth="1"/>
    <col min="13" max="13" width="12.57421875" style="0" customWidth="1"/>
    <col min="15" max="15" width="14.57421875" style="0" bestFit="1" customWidth="1"/>
  </cols>
  <sheetData>
    <row r="1" spans="1:15" ht="12.75">
      <c r="A1" s="242">
        <f>Notes!$A$2</f>
        <v>39548</v>
      </c>
      <c r="B1" s="18"/>
      <c r="C1" s="18" t="s">
        <v>130</v>
      </c>
      <c r="D1" s="83"/>
      <c r="E1" s="18"/>
      <c r="F1" s="18"/>
      <c r="G1" s="18"/>
      <c r="H1" s="18"/>
      <c r="I1" s="18"/>
      <c r="J1" s="18"/>
      <c r="K1" s="18"/>
      <c r="L1" s="18"/>
      <c r="M1" s="18"/>
      <c r="N1" s="18"/>
      <c r="O1" s="18"/>
    </row>
    <row r="2" spans="1:15" ht="12.75">
      <c r="A2" s="18"/>
      <c r="B2" s="18"/>
      <c r="C2" s="18" t="s">
        <v>131</v>
      </c>
      <c r="D2" s="96"/>
      <c r="E2" s="18"/>
      <c r="F2" s="18"/>
      <c r="G2" s="18"/>
      <c r="H2" s="18"/>
      <c r="I2" s="18"/>
      <c r="J2" s="18"/>
      <c r="K2" s="18"/>
      <c r="L2" s="18"/>
      <c r="M2" s="18"/>
      <c r="N2" s="18"/>
      <c r="O2" s="18"/>
    </row>
    <row r="3" spans="1:15" ht="23.25">
      <c r="A3" s="18"/>
      <c r="B3" s="18"/>
      <c r="C3" s="18"/>
      <c r="D3" s="18"/>
      <c r="E3" s="18"/>
      <c r="F3" s="439" t="s">
        <v>151</v>
      </c>
      <c r="G3" s="439"/>
      <c r="H3" s="439"/>
      <c r="I3" s="439"/>
      <c r="J3" s="439"/>
      <c r="K3" s="97"/>
      <c r="L3" s="97"/>
      <c r="M3" s="97"/>
      <c r="N3" s="18"/>
      <c r="O3" s="18"/>
    </row>
    <row r="4" spans="1:15" ht="12.75">
      <c r="A4" s="98"/>
      <c r="B4" s="98"/>
      <c r="C4" s="98"/>
      <c r="D4" s="98"/>
      <c r="E4" s="98"/>
      <c r="F4" s="98"/>
      <c r="G4" s="98"/>
      <c r="H4" s="98"/>
      <c r="I4" s="98"/>
      <c r="J4" s="98"/>
      <c r="K4" s="98"/>
      <c r="L4" s="98"/>
      <c r="M4" s="98"/>
      <c r="N4" s="98"/>
      <c r="O4" s="98"/>
    </row>
    <row r="5" spans="1:15" ht="19.5" customHeight="1">
      <c r="A5" s="99"/>
      <c r="B5" s="271" t="s">
        <v>0</v>
      </c>
      <c r="C5" s="582"/>
      <c r="D5" s="582"/>
      <c r="E5" s="272" t="s">
        <v>1</v>
      </c>
      <c r="F5" s="217"/>
      <c r="G5" s="100" t="s">
        <v>2</v>
      </c>
      <c r="H5" s="583"/>
      <c r="I5" s="583"/>
      <c r="J5" s="100" t="s">
        <v>40</v>
      </c>
      <c r="K5" s="583"/>
      <c r="L5" s="583"/>
      <c r="M5" s="102" t="s">
        <v>232</v>
      </c>
      <c r="N5" s="584"/>
      <c r="O5" s="584"/>
    </row>
    <row r="6" spans="1:15" ht="19.5" customHeight="1">
      <c r="A6" s="18"/>
      <c r="B6" s="103" t="s">
        <v>132</v>
      </c>
      <c r="C6" s="104"/>
      <c r="D6" s="100" t="s">
        <v>133</v>
      </c>
      <c r="E6" s="104"/>
      <c r="F6" s="100" t="s">
        <v>5</v>
      </c>
      <c r="G6" s="583"/>
      <c r="H6" s="583"/>
      <c r="I6" s="102" t="s">
        <v>134</v>
      </c>
      <c r="J6" s="585"/>
      <c r="K6" s="585"/>
      <c r="L6" s="100" t="s">
        <v>8</v>
      </c>
      <c r="M6" s="105"/>
      <c r="N6" s="100" t="s">
        <v>135</v>
      </c>
      <c r="O6" s="101"/>
    </row>
    <row r="7" spans="1:15" ht="19.5" customHeight="1">
      <c r="A7" s="18"/>
      <c r="B7" s="103" t="s">
        <v>44</v>
      </c>
      <c r="C7" s="583" t="s">
        <v>239</v>
      </c>
      <c r="D7" s="583"/>
      <c r="E7" s="106"/>
      <c r="F7" s="100" t="s">
        <v>63</v>
      </c>
      <c r="G7" s="101"/>
      <c r="H7" s="106"/>
      <c r="I7" s="586" t="s">
        <v>236</v>
      </c>
      <c r="J7" s="586"/>
      <c r="K7" s="587"/>
      <c r="L7" s="587"/>
      <c r="M7" s="108"/>
      <c r="N7" s="107"/>
      <c r="O7" s="107"/>
    </row>
    <row r="8" spans="1:15" s="63" customFormat="1" ht="11.25">
      <c r="A8" s="109"/>
      <c r="B8" s="109"/>
      <c r="C8" s="109" t="s">
        <v>88</v>
      </c>
      <c r="D8" s="110" t="s">
        <v>89</v>
      </c>
      <c r="E8" s="110" t="s">
        <v>128</v>
      </c>
      <c r="F8" s="111" t="s">
        <v>6</v>
      </c>
      <c r="G8" s="111" t="s">
        <v>91</v>
      </c>
      <c r="H8" s="111" t="s">
        <v>92</v>
      </c>
      <c r="I8" s="111" t="s">
        <v>93</v>
      </c>
      <c r="J8" s="111" t="s">
        <v>94</v>
      </c>
      <c r="K8" s="109" t="s">
        <v>7</v>
      </c>
      <c r="L8" s="109" t="s">
        <v>95</v>
      </c>
      <c r="M8" s="109" t="s">
        <v>96</v>
      </c>
      <c r="N8" s="109" t="s">
        <v>97</v>
      </c>
      <c r="O8" s="109" t="s">
        <v>99</v>
      </c>
    </row>
    <row r="9" spans="1:15" ht="12.75">
      <c r="A9" s="98"/>
      <c r="B9" s="98"/>
      <c r="C9" s="112"/>
      <c r="D9" s="113"/>
      <c r="E9" s="113"/>
      <c r="F9" s="113"/>
      <c r="G9" s="112"/>
      <c r="H9" s="113"/>
      <c r="I9" s="112"/>
      <c r="J9" s="114"/>
      <c r="K9" s="53" t="s">
        <v>12</v>
      </c>
      <c r="L9" s="98"/>
      <c r="M9" s="115" t="s">
        <v>136</v>
      </c>
      <c r="N9" s="115" t="s">
        <v>137</v>
      </c>
      <c r="O9" s="115" t="s">
        <v>138</v>
      </c>
    </row>
    <row r="10" spans="1:15" ht="12.75">
      <c r="A10" s="115" t="s">
        <v>13</v>
      </c>
      <c r="B10" s="115" t="s">
        <v>14</v>
      </c>
      <c r="C10" s="115" t="s">
        <v>15</v>
      </c>
      <c r="D10" s="115" t="s">
        <v>11</v>
      </c>
      <c r="E10" s="115" t="s">
        <v>139</v>
      </c>
      <c r="F10" s="115" t="s">
        <v>17</v>
      </c>
      <c r="G10" s="115" t="s">
        <v>18</v>
      </c>
      <c r="H10" s="115" t="s">
        <v>19</v>
      </c>
      <c r="I10" s="115" t="s">
        <v>20</v>
      </c>
      <c r="J10" s="115" t="s">
        <v>198</v>
      </c>
      <c r="K10" s="53" t="s">
        <v>21</v>
      </c>
      <c r="L10" s="115" t="s">
        <v>22</v>
      </c>
      <c r="M10" s="115" t="s">
        <v>22</v>
      </c>
      <c r="N10" s="115" t="s">
        <v>140</v>
      </c>
      <c r="O10" s="111" t="s">
        <v>141</v>
      </c>
    </row>
    <row r="11" spans="1:15" ht="12.75">
      <c r="A11" s="18"/>
      <c r="B11" s="18"/>
      <c r="C11" s="18" t="s">
        <v>10</v>
      </c>
      <c r="D11" s="111" t="s">
        <v>16</v>
      </c>
      <c r="E11" s="111"/>
      <c r="F11" s="18"/>
      <c r="G11" s="98"/>
      <c r="H11" s="18"/>
      <c r="I11" s="18"/>
      <c r="J11" s="53" t="s">
        <v>199</v>
      </c>
      <c r="K11" s="191" t="s">
        <v>240</v>
      </c>
      <c r="L11" s="18"/>
      <c r="M11" s="53"/>
      <c r="N11" s="53"/>
      <c r="O11" s="111" t="s">
        <v>22</v>
      </c>
    </row>
    <row r="12" spans="1:15" ht="12.75">
      <c r="A12" s="112"/>
      <c r="B12" s="112"/>
      <c r="C12" s="116"/>
      <c r="D12" s="117"/>
      <c r="E12" s="117"/>
      <c r="F12" s="113"/>
      <c r="G12" s="109" t="s">
        <v>142</v>
      </c>
      <c r="H12" s="118"/>
      <c r="I12" s="109"/>
      <c r="J12" s="119"/>
      <c r="K12" s="111" t="s">
        <v>215</v>
      </c>
      <c r="L12" s="109" t="s">
        <v>143</v>
      </c>
      <c r="M12" s="109" t="s">
        <v>144</v>
      </c>
      <c r="N12" s="119"/>
      <c r="O12" s="109" t="s">
        <v>145</v>
      </c>
    </row>
    <row r="13" spans="1:15" ht="16.5" customHeight="1">
      <c r="A13" s="216"/>
      <c r="B13" s="4">
        <f>A13+0.1</f>
        <v>0.1</v>
      </c>
      <c r="C13" s="121"/>
      <c r="D13" s="121"/>
      <c r="E13" s="121"/>
      <c r="F13" s="122"/>
      <c r="G13" s="121">
        <f>D13-F13</f>
        <v>0</v>
      </c>
      <c r="H13" s="121"/>
      <c r="I13" s="121"/>
      <c r="J13" s="123"/>
      <c r="K13" s="124" t="e">
        <f>(((H13-(C13-G13))-G13)/((H13-(C13-G13))-(I13-(C13-G13))))*100</f>
        <v>#DIV/0!</v>
      </c>
      <c r="L13" s="125" t="e">
        <f>G13/(H13-I13)</f>
        <v>#DIV/0!</v>
      </c>
      <c r="M13" s="126" t="e">
        <f>(L13+L14)/2</f>
        <v>#DIV/0!</v>
      </c>
      <c r="N13" s="127"/>
      <c r="O13" s="128" t="e">
        <f>(M13/N13)*100</f>
        <v>#DIV/0!</v>
      </c>
    </row>
    <row r="14" spans="1:15" ht="16.5" customHeight="1" thickBot="1">
      <c r="A14" s="129"/>
      <c r="B14" s="4">
        <f>A13+0.2</f>
        <v>0.2</v>
      </c>
      <c r="C14" s="121"/>
      <c r="D14" s="121"/>
      <c r="E14" s="121"/>
      <c r="F14" s="122"/>
      <c r="G14" s="121">
        <f>D14-F14</f>
        <v>0</v>
      </c>
      <c r="H14" s="121"/>
      <c r="I14" s="121"/>
      <c r="J14" s="123"/>
      <c r="K14" s="124" t="e">
        <f>(((H14-(C14-G14))-G14)/((H14-(C14-G14))-(I14-(C14-G14))))*100</f>
        <v>#DIV/0!</v>
      </c>
      <c r="L14" s="164" t="e">
        <f>G14/(H14-I14)</f>
        <v>#DIV/0!</v>
      </c>
      <c r="M14" s="130"/>
      <c r="N14" s="131"/>
      <c r="O14" s="132"/>
    </row>
    <row r="15" spans="1:15" ht="16.5" customHeight="1" thickBot="1">
      <c r="A15" s="133" t="s">
        <v>23</v>
      </c>
      <c r="B15" s="218"/>
      <c r="C15" s="134"/>
      <c r="D15" s="121"/>
      <c r="E15" s="121"/>
      <c r="F15" s="121"/>
      <c r="G15" s="121"/>
      <c r="H15" s="121"/>
      <c r="I15" s="121"/>
      <c r="J15" s="123"/>
      <c r="K15" s="162"/>
      <c r="L15" s="165"/>
      <c r="M15" s="163"/>
      <c r="N15" s="160"/>
      <c r="O15" s="135"/>
    </row>
    <row r="16" spans="1:15" ht="12.75">
      <c r="A16" s="84"/>
      <c r="B16" s="21"/>
      <c r="C16" s="136"/>
      <c r="D16" s="137"/>
      <c r="E16" s="137"/>
      <c r="G16" s="581" t="s">
        <v>200</v>
      </c>
      <c r="H16" s="581"/>
      <c r="I16" s="581"/>
      <c r="J16" s="172">
        <f>(J13+J14)/2</f>
        <v>0</v>
      </c>
      <c r="K16" s="138"/>
      <c r="L16" s="139"/>
      <c r="M16" s="137"/>
      <c r="N16" s="140"/>
      <c r="O16" s="141"/>
    </row>
    <row r="17" spans="1:15" ht="16.5" customHeight="1">
      <c r="A17" s="142">
        <f>A13+1</f>
        <v>1</v>
      </c>
      <c r="B17" s="4">
        <f>A17+0.1</f>
        <v>1.1</v>
      </c>
      <c r="C17" s="128"/>
      <c r="D17" s="121"/>
      <c r="E17" s="121"/>
      <c r="F17" s="122"/>
      <c r="G17" s="121">
        <f>D17-F17</f>
        <v>0</v>
      </c>
      <c r="H17" s="121"/>
      <c r="I17" s="121"/>
      <c r="J17" s="123"/>
      <c r="K17" s="124" t="e">
        <f>(((H17-(C17-G17))-G17)/((H17-(C17-G17))-(I17-(C17-G17))))*100</f>
        <v>#DIV/0!</v>
      </c>
      <c r="L17" s="125" t="e">
        <f>G17/(H17-I17)</f>
        <v>#DIV/0!</v>
      </c>
      <c r="M17" s="126" t="e">
        <f>(L17+L18)/2</f>
        <v>#DIV/0!</v>
      </c>
      <c r="N17" s="127"/>
      <c r="O17" s="128" t="e">
        <f>(M17/N17)*100</f>
        <v>#DIV/0!</v>
      </c>
    </row>
    <row r="18" spans="1:15" ht="16.5" customHeight="1" thickBot="1">
      <c r="A18" s="129"/>
      <c r="B18" s="4">
        <f>A17+0.2</f>
        <v>1.2</v>
      </c>
      <c r="C18" s="128"/>
      <c r="D18" s="121"/>
      <c r="E18" s="121"/>
      <c r="F18" s="122"/>
      <c r="G18" s="121">
        <f>D18-F18</f>
        <v>0</v>
      </c>
      <c r="H18" s="121"/>
      <c r="I18" s="121"/>
      <c r="J18" s="123"/>
      <c r="K18" s="124" t="e">
        <f>(((H18-(C18-G18))-G18)/((H18-(C18-G18))-(I18-(C18-G18))))*100</f>
        <v>#DIV/0!</v>
      </c>
      <c r="L18" s="164" t="e">
        <f>G18/(H18-I18)</f>
        <v>#DIV/0!</v>
      </c>
      <c r="M18" s="4"/>
      <c r="N18" s="131"/>
      <c r="O18" s="121"/>
    </row>
    <row r="19" spans="1:15" ht="16.5" customHeight="1" thickBot="1">
      <c r="A19" s="133" t="s">
        <v>23</v>
      </c>
      <c r="B19" s="218"/>
      <c r="C19" s="134"/>
      <c r="D19" s="128"/>
      <c r="E19" s="128"/>
      <c r="F19" s="128"/>
      <c r="G19" s="121"/>
      <c r="H19" s="128"/>
      <c r="I19" s="128"/>
      <c r="J19" s="144"/>
      <c r="K19" s="162"/>
      <c r="L19" s="165"/>
      <c r="M19" s="163"/>
      <c r="N19" s="161"/>
      <c r="O19" s="145"/>
    </row>
    <row r="20" spans="1:15" ht="12.75">
      <c r="A20" s="84"/>
      <c r="B20" s="21"/>
      <c r="C20" s="136"/>
      <c r="D20" s="146"/>
      <c r="E20" s="146"/>
      <c r="F20" s="146"/>
      <c r="G20" s="581" t="s">
        <v>200</v>
      </c>
      <c r="H20" s="581"/>
      <c r="I20" s="581"/>
      <c r="J20" s="172">
        <f>(J17+J18)/2</f>
        <v>0</v>
      </c>
      <c r="K20" s="138"/>
      <c r="L20" s="139"/>
      <c r="M20" s="137"/>
      <c r="N20" s="147"/>
      <c r="O20" s="148"/>
    </row>
    <row r="21" spans="1:15" ht="16.5" customHeight="1">
      <c r="A21" s="142">
        <f>A17+1</f>
        <v>2</v>
      </c>
      <c r="B21" s="4">
        <f>A21+0.1</f>
        <v>2.1</v>
      </c>
      <c r="C21" s="128"/>
      <c r="D21" s="121"/>
      <c r="E21" s="121"/>
      <c r="F21" s="122"/>
      <c r="G21" s="121">
        <f>D21-F21</f>
        <v>0</v>
      </c>
      <c r="H21" s="121"/>
      <c r="I21" s="121"/>
      <c r="J21" s="123"/>
      <c r="K21" s="124" t="e">
        <f>(((H21-(C21-G21))-G21)/((H21-(C21-G21))-(I21-(C21-G21))))*100</f>
        <v>#DIV/0!</v>
      </c>
      <c r="L21" s="125" t="e">
        <f>G21/(H21-I21)</f>
        <v>#DIV/0!</v>
      </c>
      <c r="M21" s="126" t="e">
        <f>(L21+L22)/2</f>
        <v>#DIV/0!</v>
      </c>
      <c r="N21" s="127"/>
      <c r="O21" s="121" t="e">
        <f>(M21/N21)*100</f>
        <v>#DIV/0!</v>
      </c>
    </row>
    <row r="22" spans="1:15" ht="16.5" customHeight="1" thickBot="1">
      <c r="A22" s="129"/>
      <c r="B22" s="4">
        <f>A21+0.2</f>
        <v>2.2</v>
      </c>
      <c r="C22" s="128"/>
      <c r="D22" s="121"/>
      <c r="E22" s="121"/>
      <c r="F22" s="122"/>
      <c r="G22" s="121">
        <f>D22-F22</f>
        <v>0</v>
      </c>
      <c r="H22" s="121"/>
      <c r="I22" s="121"/>
      <c r="J22" s="123"/>
      <c r="K22" s="124" t="e">
        <f>(((H22-(C22-G22))-G22)/((H22-(C22-G22))-(I22-(C22-G22))))*100</f>
        <v>#DIV/0!</v>
      </c>
      <c r="L22" s="164" t="e">
        <f>G22/(H22-I22)</f>
        <v>#DIV/0!</v>
      </c>
      <c r="M22" s="4"/>
      <c r="N22" s="131"/>
      <c r="O22" s="122"/>
    </row>
    <row r="23" spans="1:15" ht="16.5" customHeight="1" thickBot="1">
      <c r="A23" s="133" t="s">
        <v>23</v>
      </c>
      <c r="B23" s="218"/>
      <c r="C23" s="134"/>
      <c r="D23" s="121"/>
      <c r="E23" s="121"/>
      <c r="F23" s="121"/>
      <c r="G23" s="121"/>
      <c r="H23" s="121"/>
      <c r="I23" s="121"/>
      <c r="J23" s="123"/>
      <c r="K23" s="162"/>
      <c r="L23" s="165"/>
      <c r="M23" s="163"/>
      <c r="N23" s="161"/>
      <c r="O23" s="145"/>
    </row>
    <row r="24" spans="1:15" ht="12.75">
      <c r="A24" s="84"/>
      <c r="B24" s="21"/>
      <c r="C24" s="136"/>
      <c r="D24" s="146"/>
      <c r="E24" s="146"/>
      <c r="F24" s="146"/>
      <c r="G24" s="581" t="s">
        <v>200</v>
      </c>
      <c r="H24" s="581"/>
      <c r="I24" s="581"/>
      <c r="J24" s="173">
        <f>(J21+J22)/2</f>
        <v>0</v>
      </c>
      <c r="K24" s="138"/>
      <c r="L24" s="139"/>
      <c r="M24" s="137"/>
      <c r="N24" s="147"/>
      <c r="O24" s="148"/>
    </row>
    <row r="25" spans="1:15" ht="16.5" customHeight="1">
      <c r="A25" s="142">
        <f>A21+1</f>
        <v>3</v>
      </c>
      <c r="B25" s="4">
        <f>A25+0.1</f>
        <v>3.1</v>
      </c>
      <c r="C25" s="128"/>
      <c r="D25" s="121"/>
      <c r="E25" s="121"/>
      <c r="F25" s="122"/>
      <c r="G25" s="121">
        <f>D25-F25</f>
        <v>0</v>
      </c>
      <c r="H25" s="121"/>
      <c r="I25" s="121"/>
      <c r="J25" s="123"/>
      <c r="K25" s="124" t="e">
        <f>(((H25-(C25-G25))-G25)/((H25-(C25-G25))-(I25-(C25-G25))))*100</f>
        <v>#DIV/0!</v>
      </c>
      <c r="L25" s="125" t="e">
        <f>G25/(H25-I25)</f>
        <v>#DIV/0!</v>
      </c>
      <c r="M25" s="126" t="e">
        <f>(L25+L26)/2</f>
        <v>#DIV/0!</v>
      </c>
      <c r="N25" s="127"/>
      <c r="O25" s="121" t="e">
        <f>(M25/N25)*100</f>
        <v>#DIV/0!</v>
      </c>
    </row>
    <row r="26" spans="1:15" ht="16.5" customHeight="1" thickBot="1">
      <c r="A26" s="129"/>
      <c r="B26" s="4">
        <f>A25+0.2</f>
        <v>3.2</v>
      </c>
      <c r="C26" s="128"/>
      <c r="D26" s="121"/>
      <c r="E26" s="121"/>
      <c r="F26" s="122"/>
      <c r="G26" s="121">
        <f>D26-F26</f>
        <v>0</v>
      </c>
      <c r="H26" s="121"/>
      <c r="I26" s="121"/>
      <c r="J26" s="123"/>
      <c r="K26" s="124" t="e">
        <f>(((H26-(C26-G26))-G26)/((H26-(C26-G26))-(I26-(C26-G26))))*100</f>
        <v>#DIV/0!</v>
      </c>
      <c r="L26" s="164" t="e">
        <f>G26/(H26-I26)</f>
        <v>#DIV/0!</v>
      </c>
      <c r="M26" s="4"/>
      <c r="N26" s="131"/>
      <c r="O26" s="122"/>
    </row>
    <row r="27" spans="1:15" ht="16.5" customHeight="1" thickBot="1">
      <c r="A27" s="133" t="s">
        <v>23</v>
      </c>
      <c r="B27" s="218"/>
      <c r="C27" s="134"/>
      <c r="D27" s="128"/>
      <c r="E27" s="128"/>
      <c r="F27" s="128"/>
      <c r="G27" s="121"/>
      <c r="H27" s="128"/>
      <c r="I27" s="128"/>
      <c r="J27" s="144"/>
      <c r="K27" s="162"/>
      <c r="L27" s="165"/>
      <c r="M27" s="163"/>
      <c r="N27" s="161"/>
      <c r="O27" s="145"/>
    </row>
    <row r="28" spans="1:15" ht="12.75">
      <c r="A28" s="84"/>
      <c r="B28" s="21"/>
      <c r="C28" s="136"/>
      <c r="D28" s="146"/>
      <c r="E28" s="146"/>
      <c r="F28" s="146"/>
      <c r="G28" s="581" t="s">
        <v>200</v>
      </c>
      <c r="H28" s="581"/>
      <c r="I28" s="581"/>
      <c r="J28" s="173">
        <f>(J25+J26)/2</f>
        <v>0</v>
      </c>
      <c r="K28" s="138"/>
      <c r="L28" s="139"/>
      <c r="M28" s="137"/>
      <c r="N28" s="147"/>
      <c r="O28" s="148"/>
    </row>
    <row r="29" spans="1:15" ht="16.5" customHeight="1">
      <c r="A29" s="142">
        <f>A25+1</f>
        <v>4</v>
      </c>
      <c r="B29" s="4">
        <f>A29+0.1</f>
        <v>4.1</v>
      </c>
      <c r="C29" s="128"/>
      <c r="D29" s="121"/>
      <c r="E29" s="121"/>
      <c r="F29" s="122"/>
      <c r="G29" s="121">
        <f>D29-F29</f>
        <v>0</v>
      </c>
      <c r="H29" s="121"/>
      <c r="I29" s="121"/>
      <c r="J29" s="123"/>
      <c r="K29" s="124" t="e">
        <f>(((H29-(C29-G29))-G29)/((H29-(C29-G29))-(I29-(C29-G29))))*100</f>
        <v>#DIV/0!</v>
      </c>
      <c r="L29" s="125" t="e">
        <f>G29/(H29-I29)</f>
        <v>#DIV/0!</v>
      </c>
      <c r="M29" s="126" t="e">
        <f>(L29+L30)/2</f>
        <v>#DIV/0!</v>
      </c>
      <c r="N29" s="143"/>
      <c r="O29" s="121" t="e">
        <f>(M29/N29)*100</f>
        <v>#DIV/0!</v>
      </c>
    </row>
    <row r="30" spans="1:15" ht="16.5" customHeight="1" thickBot="1">
      <c r="A30" s="149"/>
      <c r="B30" s="4">
        <f>A29+0.2</f>
        <v>4.2</v>
      </c>
      <c r="C30" s="128"/>
      <c r="D30" s="121"/>
      <c r="E30" s="121"/>
      <c r="F30" s="122"/>
      <c r="G30" s="121">
        <f>D30-F30</f>
        <v>0</v>
      </c>
      <c r="H30" s="121"/>
      <c r="I30" s="121"/>
      <c r="J30" s="123"/>
      <c r="K30" s="124" t="e">
        <f>(((H30-(C30-G30))-G30)/((H30-(C30-G30))-(I30-(C30-G30))))*100</f>
        <v>#DIV/0!</v>
      </c>
      <c r="L30" s="164" t="e">
        <f>G30/(H30-I30)</f>
        <v>#DIV/0!</v>
      </c>
      <c r="M30" s="4"/>
      <c r="N30" s="131"/>
      <c r="O30" s="122"/>
    </row>
    <row r="31" spans="1:15" ht="16.5" customHeight="1" thickBot="1">
      <c r="A31" s="133" t="s">
        <v>23</v>
      </c>
      <c r="B31" s="218"/>
      <c r="C31" s="134"/>
      <c r="D31" s="128"/>
      <c r="E31" s="128"/>
      <c r="F31" s="128"/>
      <c r="G31" s="121"/>
      <c r="H31" s="128"/>
      <c r="I31" s="128"/>
      <c r="J31" s="144"/>
      <c r="K31" s="162"/>
      <c r="L31" s="165"/>
      <c r="M31" s="163"/>
      <c r="N31" s="161"/>
      <c r="O31" s="145"/>
    </row>
    <row r="32" spans="1:15" ht="12.75">
      <c r="A32" s="84"/>
      <c r="B32" s="21"/>
      <c r="C32" s="136"/>
      <c r="D32" s="146"/>
      <c r="E32" s="146"/>
      <c r="F32" s="146"/>
      <c r="G32" s="581" t="s">
        <v>200</v>
      </c>
      <c r="H32" s="581"/>
      <c r="I32" s="581"/>
      <c r="J32" s="173">
        <f>(J29+J30)/2</f>
        <v>0</v>
      </c>
      <c r="K32" s="138"/>
      <c r="L32" s="139"/>
      <c r="M32" s="137"/>
      <c r="N32" s="147"/>
      <c r="O32" s="148"/>
    </row>
    <row r="33" spans="1:15" ht="16.5" customHeight="1">
      <c r="A33" s="142">
        <f>A29+1</f>
        <v>5</v>
      </c>
      <c r="B33" s="4">
        <f>A33+0.1</f>
        <v>5.1</v>
      </c>
      <c r="C33" s="128"/>
      <c r="D33" s="121"/>
      <c r="E33" s="121"/>
      <c r="F33" s="122"/>
      <c r="G33" s="121">
        <f>D33-F33</f>
        <v>0</v>
      </c>
      <c r="H33" s="121"/>
      <c r="I33" s="121"/>
      <c r="J33" s="123"/>
      <c r="K33" s="124" t="e">
        <f>(((H33-(C33-G33))-G33)/((H33-(C33-G33))-(I33-(C33-G33))))*100</f>
        <v>#DIV/0!</v>
      </c>
      <c r="L33" s="125" t="e">
        <f>G33/(H33-I33)</f>
        <v>#DIV/0!</v>
      </c>
      <c r="M33" s="126" t="e">
        <f>(L33+L34)/2</f>
        <v>#DIV/0!</v>
      </c>
      <c r="N33" s="143"/>
      <c r="O33" s="121" t="e">
        <f>(M33/N33)*100</f>
        <v>#DIV/0!</v>
      </c>
    </row>
    <row r="34" spans="1:15" ht="16.5" customHeight="1" thickBot="1">
      <c r="A34" s="129"/>
      <c r="B34" s="4">
        <f>A33+0.2</f>
        <v>5.2</v>
      </c>
      <c r="C34" s="128"/>
      <c r="D34" s="121"/>
      <c r="E34" s="121"/>
      <c r="F34" s="122"/>
      <c r="G34" s="121">
        <f>D34-F34</f>
        <v>0</v>
      </c>
      <c r="H34" s="121"/>
      <c r="I34" s="121"/>
      <c r="J34" s="123"/>
      <c r="K34" s="124" t="e">
        <f>(((H34-(C34-G34))-G34)/((H34-(C34-G34))-(I34-(C34-G34))))*100</f>
        <v>#DIV/0!</v>
      </c>
      <c r="L34" s="164" t="e">
        <f>G34/(H34-I34)</f>
        <v>#DIV/0!</v>
      </c>
      <c r="M34" s="4"/>
      <c r="N34" s="131"/>
      <c r="O34" s="122"/>
    </row>
    <row r="35" spans="1:15" ht="16.5" customHeight="1" thickBot="1">
      <c r="A35" s="133" t="s">
        <v>23</v>
      </c>
      <c r="B35" s="218"/>
      <c r="C35" s="134"/>
      <c r="D35" s="121"/>
      <c r="E35" s="121"/>
      <c r="F35" s="121"/>
      <c r="G35" s="121"/>
      <c r="H35" s="121"/>
      <c r="I35" s="121"/>
      <c r="J35" s="123"/>
      <c r="K35" s="162"/>
      <c r="L35" s="165"/>
      <c r="M35" s="163"/>
      <c r="N35" s="161"/>
      <c r="O35" s="145"/>
    </row>
    <row r="36" spans="1:15" ht="12.75">
      <c r="A36" s="84"/>
      <c r="B36" s="21"/>
      <c r="C36" s="136"/>
      <c r="D36" s="146"/>
      <c r="E36" s="146"/>
      <c r="F36" s="146"/>
      <c r="G36" s="589" t="s">
        <v>200</v>
      </c>
      <c r="H36" s="589"/>
      <c r="I36" s="589"/>
      <c r="J36" s="173">
        <f>(J33+J34)/2</f>
        <v>0</v>
      </c>
      <c r="K36" s="138"/>
      <c r="L36" s="139"/>
      <c r="M36" s="137"/>
      <c r="N36" s="147"/>
      <c r="O36" s="171"/>
    </row>
    <row r="37" spans="1:15" ht="16.5" customHeight="1" thickBot="1">
      <c r="A37" s="107"/>
      <c r="B37" s="107"/>
      <c r="C37" s="107"/>
      <c r="D37" s="107"/>
      <c r="E37" s="107"/>
      <c r="F37" s="107"/>
      <c r="G37" s="107"/>
      <c r="H37" s="107"/>
      <c r="I37" s="107"/>
      <c r="J37" s="107"/>
      <c r="K37" s="107"/>
      <c r="L37" s="107"/>
      <c r="M37" s="107"/>
      <c r="N37" s="107"/>
      <c r="O37" s="107"/>
    </row>
    <row r="38" spans="1:15" ht="16.5" customHeight="1" thickBot="1">
      <c r="A38" s="150"/>
      <c r="B38" s="151"/>
      <c r="C38" s="150"/>
      <c r="D38" s="150"/>
      <c r="E38" s="150"/>
      <c r="F38" s="30"/>
      <c r="G38" s="152"/>
      <c r="H38" s="152"/>
      <c r="I38" s="150"/>
      <c r="J38" s="153"/>
      <c r="K38" s="150" t="s">
        <v>146</v>
      </c>
      <c r="L38" s="30"/>
      <c r="M38" s="150"/>
      <c r="N38" s="150"/>
      <c r="O38" s="152"/>
    </row>
    <row r="39" ht="16.5" customHeight="1">
      <c r="A39" s="154" t="s">
        <v>147</v>
      </c>
    </row>
    <row r="40" spans="1:14" ht="19.5" customHeight="1">
      <c r="A40" s="154" t="s">
        <v>148</v>
      </c>
      <c r="K40" t="s">
        <v>149</v>
      </c>
      <c r="L40" s="574"/>
      <c r="M40" s="574"/>
      <c r="N40" s="574"/>
    </row>
    <row r="41" spans="1:14" ht="19.5" customHeight="1">
      <c r="A41" s="590" t="s">
        <v>241</v>
      </c>
      <c r="B41" s="590"/>
      <c r="C41" s="590"/>
      <c r="D41" s="590"/>
      <c r="E41" s="590"/>
      <c r="F41" s="590"/>
      <c r="G41" s="590"/>
      <c r="K41" t="s">
        <v>150</v>
      </c>
      <c r="L41" s="588"/>
      <c r="M41" s="588"/>
      <c r="N41" s="588"/>
    </row>
  </sheetData>
  <sheetProtection password="D86C" sheet="1" objects="1" scenarios="1" selectLockedCells="1" selectUnlockedCells="1"/>
  <mergeCells count="19">
    <mergeCell ref="G20:I20"/>
    <mergeCell ref="G24:I24"/>
    <mergeCell ref="L40:N40"/>
    <mergeCell ref="L41:N41"/>
    <mergeCell ref="G28:I28"/>
    <mergeCell ref="G32:I32"/>
    <mergeCell ref="G36:I36"/>
    <mergeCell ref="A41:G41"/>
    <mergeCell ref="N5:O5"/>
    <mergeCell ref="K5:L5"/>
    <mergeCell ref="J6:K6"/>
    <mergeCell ref="I7:J7"/>
    <mergeCell ref="K7:L7"/>
    <mergeCell ref="G16:I16"/>
    <mergeCell ref="F3:J3"/>
    <mergeCell ref="C5:D5"/>
    <mergeCell ref="H5:I5"/>
    <mergeCell ref="C7:D7"/>
    <mergeCell ref="G6:H6"/>
  </mergeCells>
  <printOptions horizontalCentered="1" verticalCentered="1"/>
  <pageMargins left="0" right="0" top="0" bottom="0" header="0" footer="0.5"/>
  <pageSetup fitToHeight="1" fitToWidth="1" horizontalDpi="300" verticalDpi="300" orientation="landscape" scale="87" r:id="rId2"/>
  <legacyDrawing r:id="rId1"/>
</worksheet>
</file>

<file path=xl/worksheets/sheet9.xml><?xml version="1.0" encoding="utf-8"?>
<worksheet xmlns="http://schemas.openxmlformats.org/spreadsheetml/2006/main" xmlns:r="http://schemas.openxmlformats.org/officeDocument/2006/relationships">
  <sheetPr codeName="Sheet131">
    <pageSetUpPr fitToPage="1"/>
  </sheetPr>
  <dimension ref="A1:AU79"/>
  <sheetViews>
    <sheetView showGridLines="0" zoomScale="75" zoomScaleNormal="75" workbookViewId="0" topLeftCell="A1">
      <selection activeCell="E5" sqref="E5:G5"/>
    </sheetView>
  </sheetViews>
  <sheetFormatPr defaultColWidth="9.140625" defaultRowHeight="12.75"/>
  <cols>
    <col min="1" max="1" width="4.7109375" style="0" customWidth="1"/>
    <col min="2" max="2" width="3.57421875" style="0" hidden="1" customWidth="1"/>
    <col min="3" max="3" width="6.7109375" style="0" customWidth="1"/>
    <col min="4" max="5" width="12.8515625" style="0" customWidth="1"/>
    <col min="6" max="6" width="9.28125" style="0" customWidth="1"/>
    <col min="7" max="7" width="7.421875" style="0" customWidth="1"/>
    <col min="8" max="8" width="11.28125" style="0" customWidth="1"/>
    <col min="9" max="9" width="8.421875" style="0" customWidth="1"/>
    <col min="10" max="10" width="11.8515625" style="0" customWidth="1"/>
    <col min="11" max="11" width="14.421875" style="0" bestFit="1" customWidth="1"/>
    <col min="12" max="12" width="17.421875" style="0" customWidth="1"/>
    <col min="13" max="13" width="13.7109375" style="0" customWidth="1"/>
    <col min="14" max="14" width="10.8515625" style="0" bestFit="1" customWidth="1"/>
    <col min="15" max="15" width="13.8515625" style="0" bestFit="1" customWidth="1"/>
    <col min="16" max="16" width="13.8515625" style="0" customWidth="1"/>
    <col min="17" max="17" width="11.00390625" style="0" hidden="1" customWidth="1"/>
    <col min="18" max="18" width="3.421875" style="0" hidden="1" customWidth="1"/>
    <col min="19" max="19" width="5.421875" style="0" hidden="1" customWidth="1"/>
    <col min="20" max="20" width="4.8515625" style="0" hidden="1" customWidth="1"/>
    <col min="21" max="21" width="5.28125" style="0" hidden="1" customWidth="1"/>
    <col min="22" max="22" width="8.57421875" style="0" hidden="1" customWidth="1"/>
    <col min="23" max="23" width="7.7109375" style="65" hidden="1" customWidth="1"/>
    <col min="24" max="24" width="4.00390625" style="0" hidden="1" customWidth="1"/>
    <col min="25" max="25" width="5.140625" style="0" hidden="1" customWidth="1"/>
    <col min="26" max="26" width="6.57421875" style="0" hidden="1" customWidth="1"/>
    <col min="27" max="27" width="8.7109375" style="65" hidden="1" customWidth="1"/>
    <col min="28" max="28" width="8.28125" style="65" hidden="1" customWidth="1"/>
    <col min="29" max="29" width="6.57421875" style="0" hidden="1" customWidth="1"/>
    <col min="30" max="30" width="0" style="0" hidden="1" customWidth="1"/>
    <col min="31" max="31" width="7.28125" style="0" hidden="1" customWidth="1"/>
    <col min="32" max="33" width="6.57421875" style="0" hidden="1" customWidth="1"/>
    <col min="34" max="35" width="5.7109375" style="0" hidden="1" customWidth="1"/>
    <col min="36" max="36" width="8.28125" style="65" hidden="1" customWidth="1"/>
    <col min="37" max="37" width="6.57421875" style="0" hidden="1" customWidth="1"/>
    <col min="38" max="38" width="5.7109375" style="0" hidden="1" customWidth="1"/>
    <col min="39" max="39" width="8.00390625" style="0" hidden="1" customWidth="1"/>
    <col min="40" max="40" width="8.28125" style="65" hidden="1" customWidth="1"/>
    <col min="41" max="41" width="6.57421875" style="0" hidden="1" customWidth="1"/>
    <col min="42" max="42" width="9.28125" style="0" hidden="1" customWidth="1"/>
    <col min="43" max="43" width="8.421875" style="0" hidden="1" customWidth="1"/>
    <col min="44" max="44" width="15.00390625" style="0" hidden="1" customWidth="1"/>
    <col min="45" max="45" width="8.57421875" style="0" hidden="1" customWidth="1"/>
    <col min="46" max="46" width="0" style="0" hidden="1" customWidth="1"/>
    <col min="47" max="47" width="11.7109375" style="0" hidden="1" customWidth="1"/>
    <col min="48" max="48" width="9.57421875" style="0" customWidth="1"/>
  </cols>
  <sheetData>
    <row r="1" spans="1:36" ht="12.75">
      <c r="A1" s="18"/>
      <c r="B1" s="18"/>
      <c r="C1" s="18"/>
      <c r="D1" s="18"/>
      <c r="E1" s="18"/>
      <c r="F1" s="18"/>
      <c r="G1" s="18"/>
      <c r="H1" s="18"/>
      <c r="I1" s="18"/>
      <c r="J1" s="18"/>
      <c r="K1" s="18"/>
      <c r="L1" s="18"/>
      <c r="M1" s="18"/>
      <c r="N1" s="18"/>
      <c r="O1" s="18"/>
      <c r="P1" s="18"/>
      <c r="Q1" s="18"/>
      <c r="X1" s="7"/>
      <c r="Y1" s="7"/>
      <c r="AH1" s="467" t="s">
        <v>24</v>
      </c>
      <c r="AI1" s="467"/>
      <c r="AJ1" s="467"/>
    </row>
    <row r="2" spans="1:40" ht="22.5">
      <c r="A2" s="18"/>
      <c r="B2" s="18"/>
      <c r="C2" s="18"/>
      <c r="D2" s="18"/>
      <c r="E2" s="18"/>
      <c r="F2" s="18"/>
      <c r="G2" s="18"/>
      <c r="H2" s="18"/>
      <c r="I2" s="580" t="s">
        <v>26</v>
      </c>
      <c r="J2" s="580"/>
      <c r="K2" s="580"/>
      <c r="L2" s="580"/>
      <c r="M2" s="18"/>
      <c r="N2" s="18"/>
      <c r="O2" s="18"/>
      <c r="P2" s="18"/>
      <c r="Q2" s="18"/>
      <c r="X2" s="7"/>
      <c r="Y2" s="7"/>
      <c r="AH2" s="467"/>
      <c r="AI2" s="467"/>
      <c r="AJ2" s="467"/>
      <c r="AL2" s="467" t="s">
        <v>25</v>
      </c>
      <c r="AM2" s="467"/>
      <c r="AN2" s="467"/>
    </row>
    <row r="3" spans="1:40" ht="12.75">
      <c r="A3" s="18"/>
      <c r="B3" s="18"/>
      <c r="C3" s="183"/>
      <c r="D3" s="195"/>
      <c r="E3" s="195"/>
      <c r="F3" s="18"/>
      <c r="G3" s="18"/>
      <c r="H3" s="18"/>
      <c r="I3" s="18"/>
      <c r="J3" s="18"/>
      <c r="K3" s="18"/>
      <c r="L3" s="18"/>
      <c r="M3" s="18"/>
      <c r="N3" s="18"/>
      <c r="O3" s="18"/>
      <c r="P3" s="18"/>
      <c r="Q3" s="18"/>
      <c r="X3" s="7"/>
      <c r="Y3" s="7"/>
      <c r="Z3" s="7" t="s">
        <v>27</v>
      </c>
      <c r="AA3" s="20" t="s">
        <v>28</v>
      </c>
      <c r="AB3" s="20" t="s">
        <v>29</v>
      </c>
      <c r="AC3" s="7" t="s">
        <v>30</v>
      </c>
      <c r="AF3" s="7" t="s">
        <v>30</v>
      </c>
      <c r="AH3" s="7"/>
      <c r="AI3" s="7" t="s">
        <v>31</v>
      </c>
      <c r="AJ3" s="20" t="s">
        <v>32</v>
      </c>
      <c r="AL3" s="7"/>
      <c r="AM3" s="7" t="s">
        <v>31</v>
      </c>
      <c r="AN3" s="20" t="s">
        <v>32</v>
      </c>
    </row>
    <row r="4" spans="1:40" ht="12.75">
      <c r="A4" s="18"/>
      <c r="B4" s="18"/>
      <c r="C4" s="183"/>
      <c r="D4" s="18"/>
      <c r="E4" s="18"/>
      <c r="F4" s="18"/>
      <c r="G4" s="18"/>
      <c r="H4" s="18"/>
      <c r="I4" s="18"/>
      <c r="J4" s="18"/>
      <c r="K4" s="18"/>
      <c r="L4" s="18"/>
      <c r="M4" s="18"/>
      <c r="N4" s="18"/>
      <c r="O4" s="4" t="s">
        <v>33</v>
      </c>
      <c r="P4" s="197"/>
      <c r="Q4" s="18"/>
      <c r="X4" s="7"/>
      <c r="Y4" s="7"/>
      <c r="Z4" s="7" t="s">
        <v>34</v>
      </c>
      <c r="AA4" s="20" t="s">
        <v>34</v>
      </c>
      <c r="AB4" s="20" t="s">
        <v>34</v>
      </c>
      <c r="AC4" s="7" t="s">
        <v>35</v>
      </c>
      <c r="AF4" s="7" t="s">
        <v>36</v>
      </c>
      <c r="AH4" s="7" t="s">
        <v>37</v>
      </c>
      <c r="AI4" s="7" t="s">
        <v>35</v>
      </c>
      <c r="AJ4" s="20" t="s">
        <v>38</v>
      </c>
      <c r="AL4" s="7" t="s">
        <v>37</v>
      </c>
      <c r="AM4" s="7" t="s">
        <v>35</v>
      </c>
      <c r="AN4" s="20" t="s">
        <v>38</v>
      </c>
    </row>
    <row r="5" spans="1:41" ht="15.75">
      <c r="A5" s="18"/>
      <c r="B5" s="18"/>
      <c r="C5" s="18"/>
      <c r="D5" s="269" t="s">
        <v>0</v>
      </c>
      <c r="E5" s="544"/>
      <c r="F5" s="545"/>
      <c r="G5" s="546"/>
      <c r="H5" s="470" t="s">
        <v>39</v>
      </c>
      <c r="I5" s="471"/>
      <c r="J5" s="550"/>
      <c r="K5" s="550"/>
      <c r="L5" s="8" t="s">
        <v>40</v>
      </c>
      <c r="M5" s="549"/>
      <c r="N5" s="434"/>
      <c r="O5" s="4" t="s">
        <v>41</v>
      </c>
      <c r="P5" s="196"/>
      <c r="Q5" s="18"/>
      <c r="X5" s="7" t="s">
        <v>34</v>
      </c>
      <c r="Y5" s="7" t="s">
        <v>42</v>
      </c>
      <c r="Z5" s="7" t="s">
        <v>30</v>
      </c>
      <c r="AA5" s="20" t="s">
        <v>32</v>
      </c>
      <c r="AB5" s="20" t="s">
        <v>32</v>
      </c>
      <c r="AC5" s="7" t="s">
        <v>42</v>
      </c>
      <c r="AF5" s="7" t="s">
        <v>42</v>
      </c>
      <c r="AG5" s="7" t="s">
        <v>42</v>
      </c>
      <c r="AH5" s="7" t="s">
        <v>43</v>
      </c>
      <c r="AI5" s="7" t="s">
        <v>42</v>
      </c>
      <c r="AJ5" s="20" t="s">
        <v>37</v>
      </c>
      <c r="AK5" s="7" t="s">
        <v>42</v>
      </c>
      <c r="AL5" s="7" t="s">
        <v>43</v>
      </c>
      <c r="AM5" s="7" t="s">
        <v>42</v>
      </c>
      <c r="AN5" s="20" t="s">
        <v>37</v>
      </c>
      <c r="AO5" s="7" t="s">
        <v>42</v>
      </c>
    </row>
    <row r="6" spans="1:44" ht="12.75">
      <c r="A6" s="18"/>
      <c r="B6" s="18"/>
      <c r="C6" s="18"/>
      <c r="D6" s="220" t="s">
        <v>2</v>
      </c>
      <c r="E6" s="434"/>
      <c r="F6" s="547"/>
      <c r="G6" s="523"/>
      <c r="H6" s="462" t="s">
        <v>44</v>
      </c>
      <c r="I6" s="551"/>
      <c r="J6" s="548"/>
      <c r="K6" s="548"/>
      <c r="L6" s="107"/>
      <c r="M6" s="6"/>
      <c r="N6" s="107"/>
      <c r="O6" s="4" t="s">
        <v>45</v>
      </c>
      <c r="P6" s="197"/>
      <c r="Q6" s="18"/>
      <c r="X6" s="7">
        <v>1</v>
      </c>
      <c r="Y6" s="7">
        <v>1</v>
      </c>
      <c r="Z6" s="12">
        <f>$L$17</f>
        <v>0</v>
      </c>
      <c r="AA6" s="65">
        <f>J8</f>
        <v>0</v>
      </c>
      <c r="AB6" s="65">
        <f>IF($L$17&lt;=N8,J8+$L$17*V8,L8)</f>
        <v>0</v>
      </c>
      <c r="AC6" s="12">
        <f aca="true" t="shared" si="0" ref="AC6:AC13">ABS(AB6-AA6)</f>
        <v>0</v>
      </c>
      <c r="AD6">
        <f>IF(N8=0,"",IF(ROUND(AC6-$N$8,0)=0,"LOT 1",IF(Z6=0,"",IF(AB6-AA6&lt;N8,"PARTIAL","NOT"))))</f>
      </c>
      <c r="AF6" s="12">
        <f aca="true" t="shared" si="1" ref="AF6:AF13">IF(Z6="",0,N8-AC6)</f>
        <v>0</v>
      </c>
      <c r="AG6" s="7" t="s">
        <v>46</v>
      </c>
      <c r="AH6" s="12">
        <f>J22</f>
        <v>0</v>
      </c>
      <c r="AI6" s="12">
        <f>IF(AC6&gt;=AH6,AH6,AC6)</f>
        <v>0</v>
      </c>
      <c r="AJ6" s="65">
        <f>IF(AI6=AC6,"",AA6+AI6*V8)</f>
      </c>
      <c r="AK6" s="7" t="s">
        <v>46</v>
      </c>
      <c r="AL6" s="12">
        <f>J23</f>
        <v>0</v>
      </c>
      <c r="AM6" s="12">
        <f>IF(AC6&gt;=AL6,AL6,AC6)</f>
        <v>0</v>
      </c>
      <c r="AN6" s="65">
        <f>IF(AM6=AC6,"",AA6+AM6*V8)</f>
      </c>
      <c r="AO6" s="7" t="s">
        <v>46</v>
      </c>
      <c r="AR6" s="18"/>
    </row>
    <row r="7" spans="1:45" ht="12.75">
      <c r="A7" s="18"/>
      <c r="B7" s="18"/>
      <c r="C7" s="18"/>
      <c r="D7" s="461" t="s">
        <v>42</v>
      </c>
      <c r="E7" s="553"/>
      <c r="F7" s="543" t="s">
        <v>47</v>
      </c>
      <c r="G7" s="543"/>
      <c r="H7" s="107"/>
      <c r="I7" s="107"/>
      <c r="J7" s="54"/>
      <c r="K7" s="107"/>
      <c r="L7" s="107"/>
      <c r="M7" s="6"/>
      <c r="N7" s="84"/>
      <c r="O7" s="4" t="s">
        <v>235</v>
      </c>
      <c r="P7" s="196"/>
      <c r="Q7" s="18"/>
      <c r="S7" t="s">
        <v>8</v>
      </c>
      <c r="T7" t="s">
        <v>9</v>
      </c>
      <c r="V7" t="s">
        <v>48</v>
      </c>
      <c r="X7" s="7"/>
      <c r="Y7" s="7">
        <v>2</v>
      </c>
      <c r="Z7" s="12">
        <f aca="true" t="shared" si="2" ref="Z7:Z13">IF(ROUND(N9,0)=0,"",Z6-ABS(AB6-AA6))</f>
      </c>
      <c r="AA7" s="65">
        <f aca="true" t="shared" si="3" ref="AA7:AA13">IF(Z7&lt;0.5,0,J9)</f>
        <v>0</v>
      </c>
      <c r="AB7" s="65" t="e">
        <f aca="true" t="shared" si="4" ref="AB7:AB13">IF(Z7&lt;0.5,0,IF(Z7&lt;=N9,J9+Z7*V9,L9))</f>
        <v>#VALUE!</v>
      </c>
      <c r="AC7" s="12" t="e">
        <f t="shared" si="0"/>
        <v>#VALUE!</v>
      </c>
      <c r="AD7">
        <f>IF(N9=0,"",IF(ROUND(AC7-N9,0)=0,"LOT 1",IF(Z7&lt;0.5,"",IF(AB7-AA7&lt;$N$9+0.5,"PARTIAL","NOT"))))</f>
      </c>
      <c r="AF7" s="12">
        <f t="shared" si="1"/>
        <v>0</v>
      </c>
      <c r="AG7" s="7" t="s">
        <v>49</v>
      </c>
      <c r="AH7" s="12" t="e">
        <f>IF(AC7=0,"",IF(AJ6="",AH6-AI6,""))</f>
        <v>#VALUE!</v>
      </c>
      <c r="AI7" s="12" t="e">
        <f aca="true" t="shared" si="5" ref="AI7:AI13">IF(AH7="","",IF(AC7&gt;=AH7,AH7,AC7))</f>
        <v>#VALUE!</v>
      </c>
      <c r="AJ7" s="65" t="e">
        <f aca="true" t="shared" si="6" ref="AJ7:AJ13">IF(AH7="","",IF(ROUND(AI7-AH7,0)=0,AA7+AI7*V9,IF(AI7=AC7,"",AA7+AI7*V9)))</f>
        <v>#VALUE!</v>
      </c>
      <c r="AK7" s="7" t="s">
        <v>49</v>
      </c>
      <c r="AL7" s="12" t="e">
        <f aca="true" t="shared" si="7" ref="AL7:AL13">IF(AL6="","",IF(AC7=0,"",IF(AN6="",AL6-AM6,"")))</f>
        <v>#VALUE!</v>
      </c>
      <c r="AM7" s="12" t="e">
        <f aca="true" t="shared" si="8" ref="AM7:AM13">IF(AL7="","",IF(AC7&gt;=AL7,AL7,AC7))</f>
        <v>#VALUE!</v>
      </c>
      <c r="AN7" s="65" t="e">
        <f aca="true" t="shared" si="9" ref="AN7:AN13">IF(AL7="","",IF(ROUND(AM7-AL7,0)=0,AA7+AM7*V9,IF(AM7=AC7,"",AA7+AM7*V9)))</f>
        <v>#VALUE!</v>
      </c>
      <c r="AO7" s="7" t="s">
        <v>49</v>
      </c>
      <c r="AR7" s="18"/>
      <c r="AS7">
        <v>1</v>
      </c>
    </row>
    <row r="8" spans="1:47" ht="12.75">
      <c r="A8" s="18"/>
      <c r="B8" s="18"/>
      <c r="C8" s="18"/>
      <c r="D8" s="461" t="s">
        <v>46</v>
      </c>
      <c r="E8" s="462"/>
      <c r="F8" s="434"/>
      <c r="G8" s="523"/>
      <c r="H8" s="532" t="s">
        <v>50</v>
      </c>
      <c r="I8" s="533"/>
      <c r="J8" s="224"/>
      <c r="K8" s="14" t="s">
        <v>51</v>
      </c>
      <c r="L8" s="200"/>
      <c r="M8" s="15" t="s">
        <v>52</v>
      </c>
      <c r="N8" s="19"/>
      <c r="O8" s="17" t="s">
        <v>53</v>
      </c>
      <c r="P8" s="225"/>
      <c r="Q8" s="18"/>
      <c r="S8">
        <v>0.1</v>
      </c>
      <c r="T8">
        <v>0</v>
      </c>
      <c r="V8" s="7">
        <f aca="true" t="shared" si="10" ref="V8:V15">IF(J8&lt;L8,1,IF(J8=L8,0,IF(J8&gt;L8,-1,"NOT")))</f>
        <v>0</v>
      </c>
      <c r="X8" s="7"/>
      <c r="Y8" s="7">
        <v>3</v>
      </c>
      <c r="Z8" s="12">
        <f t="shared" si="2"/>
      </c>
      <c r="AA8" s="65">
        <f t="shared" si="3"/>
        <v>0</v>
      </c>
      <c r="AB8" s="65" t="e">
        <f t="shared" si="4"/>
        <v>#VALUE!</v>
      </c>
      <c r="AC8" s="12" t="e">
        <f t="shared" si="0"/>
        <v>#VALUE!</v>
      </c>
      <c r="AD8">
        <f aca="true" t="shared" si="11" ref="AD8:AD13">IF(N10=0,"",IF(ROUND(AC8-N10,0)=0,"LOT 1",IF(Z8&lt;0.5,"",IF(AB8-AA8&lt;N10,"PARTIAL","NOT"))))</f>
      </c>
      <c r="AF8" s="12">
        <f t="shared" si="1"/>
        <v>0</v>
      </c>
      <c r="AG8" s="7" t="s">
        <v>54</v>
      </c>
      <c r="AH8" s="12" t="e">
        <f aca="true" t="shared" si="12" ref="AH8:AH13">IF(AH7="","",IF(AC8=0,"",IF(AJ7="",AH7-AI7,"")))</f>
        <v>#VALUE!</v>
      </c>
      <c r="AI8" s="12" t="e">
        <f t="shared" si="5"/>
        <v>#VALUE!</v>
      </c>
      <c r="AJ8" s="65" t="e">
        <f t="shared" si="6"/>
        <v>#VALUE!</v>
      </c>
      <c r="AK8" s="7" t="s">
        <v>54</v>
      </c>
      <c r="AL8" s="12" t="e">
        <f t="shared" si="7"/>
        <v>#VALUE!</v>
      </c>
      <c r="AM8" s="12" t="e">
        <f t="shared" si="8"/>
        <v>#VALUE!</v>
      </c>
      <c r="AN8" s="65" t="e">
        <f t="shared" si="9"/>
        <v>#VALUE!</v>
      </c>
      <c r="AO8" s="7" t="s">
        <v>54</v>
      </c>
      <c r="AS8" s="18" t="s">
        <v>55</v>
      </c>
      <c r="AU8" s="1" t="s">
        <v>153</v>
      </c>
    </row>
    <row r="9" spans="1:47" ht="12.75">
      <c r="A9" s="18"/>
      <c r="B9" s="18"/>
      <c r="C9" s="18"/>
      <c r="D9" s="461" t="s">
        <v>49</v>
      </c>
      <c r="E9" s="462"/>
      <c r="F9" s="434"/>
      <c r="G9" s="523"/>
      <c r="H9" s="532" t="s">
        <v>50</v>
      </c>
      <c r="I9" s="533"/>
      <c r="J9" s="194"/>
      <c r="K9" s="14" t="s">
        <v>51</v>
      </c>
      <c r="L9" s="200"/>
      <c r="M9" s="15" t="s">
        <v>52</v>
      </c>
      <c r="N9" s="19"/>
      <c r="O9" s="21"/>
      <c r="P9" s="22"/>
      <c r="Q9" s="18"/>
      <c r="S9">
        <v>1</v>
      </c>
      <c r="T9">
        <v>1</v>
      </c>
      <c r="V9" s="7">
        <f t="shared" si="10"/>
        <v>0</v>
      </c>
      <c r="X9" s="7"/>
      <c r="Y9" s="7">
        <v>4</v>
      </c>
      <c r="Z9" s="12">
        <f t="shared" si="2"/>
      </c>
      <c r="AA9" s="65">
        <f t="shared" si="3"/>
        <v>0</v>
      </c>
      <c r="AB9" s="65" t="e">
        <f t="shared" si="4"/>
        <v>#VALUE!</v>
      </c>
      <c r="AC9" s="12" t="e">
        <f t="shared" si="0"/>
        <v>#VALUE!</v>
      </c>
      <c r="AD9">
        <f t="shared" si="11"/>
      </c>
      <c r="AF9" s="12">
        <f t="shared" si="1"/>
        <v>0</v>
      </c>
      <c r="AG9" s="7" t="s">
        <v>56</v>
      </c>
      <c r="AH9" s="12" t="e">
        <f t="shared" si="12"/>
        <v>#VALUE!</v>
      </c>
      <c r="AI9" s="12" t="e">
        <f t="shared" si="5"/>
        <v>#VALUE!</v>
      </c>
      <c r="AJ9" s="65" t="e">
        <f t="shared" si="6"/>
        <v>#VALUE!</v>
      </c>
      <c r="AK9" s="7" t="s">
        <v>56</v>
      </c>
      <c r="AL9" s="12" t="e">
        <f t="shared" si="7"/>
        <v>#VALUE!</v>
      </c>
      <c r="AM9" s="12" t="e">
        <f t="shared" si="8"/>
        <v>#VALUE!</v>
      </c>
      <c r="AN9" s="65" t="e">
        <f t="shared" si="9"/>
        <v>#VALUE!</v>
      </c>
      <c r="AO9" s="7" t="s">
        <v>56</v>
      </c>
      <c r="AS9" s="18" t="s">
        <v>57</v>
      </c>
      <c r="AU9" s="1" t="s">
        <v>154</v>
      </c>
    </row>
    <row r="10" spans="1:47" ht="12.75">
      <c r="A10" s="18"/>
      <c r="B10" s="18"/>
      <c r="C10" s="18"/>
      <c r="D10" s="461" t="s">
        <v>54</v>
      </c>
      <c r="E10" s="462"/>
      <c r="F10" s="434"/>
      <c r="G10" s="523"/>
      <c r="H10" s="532" t="s">
        <v>50</v>
      </c>
      <c r="I10" s="533"/>
      <c r="J10" s="194"/>
      <c r="K10" s="14" t="s">
        <v>51</v>
      </c>
      <c r="L10" s="200"/>
      <c r="M10" s="15" t="s">
        <v>52</v>
      </c>
      <c r="N10" s="19"/>
      <c r="O10" s="21"/>
      <c r="P10" s="22"/>
      <c r="Q10" s="18"/>
      <c r="S10">
        <v>601</v>
      </c>
      <c r="T10">
        <v>2</v>
      </c>
      <c r="V10" s="7">
        <f t="shared" si="10"/>
        <v>0</v>
      </c>
      <c r="X10" s="7"/>
      <c r="Y10" s="7">
        <v>5</v>
      </c>
      <c r="Z10" s="12">
        <f t="shared" si="2"/>
      </c>
      <c r="AA10" s="65">
        <f t="shared" si="3"/>
        <v>0</v>
      </c>
      <c r="AB10" s="65" t="e">
        <f t="shared" si="4"/>
        <v>#VALUE!</v>
      </c>
      <c r="AC10" s="12" t="e">
        <f t="shared" si="0"/>
        <v>#VALUE!</v>
      </c>
      <c r="AD10">
        <f t="shared" si="11"/>
      </c>
      <c r="AF10" s="12">
        <f t="shared" si="1"/>
        <v>0</v>
      </c>
      <c r="AG10" s="7" t="s">
        <v>58</v>
      </c>
      <c r="AH10" s="12" t="e">
        <f t="shared" si="12"/>
        <v>#VALUE!</v>
      </c>
      <c r="AI10" s="12" t="e">
        <f t="shared" si="5"/>
        <v>#VALUE!</v>
      </c>
      <c r="AJ10" s="65" t="e">
        <f t="shared" si="6"/>
        <v>#VALUE!</v>
      </c>
      <c r="AK10" s="7" t="s">
        <v>58</v>
      </c>
      <c r="AL10" s="12" t="e">
        <f t="shared" si="7"/>
        <v>#VALUE!</v>
      </c>
      <c r="AM10" s="12" t="e">
        <f t="shared" si="8"/>
        <v>#VALUE!</v>
      </c>
      <c r="AN10" s="65" t="e">
        <f t="shared" si="9"/>
        <v>#VALUE!</v>
      </c>
      <c r="AO10" s="7" t="s">
        <v>58</v>
      </c>
      <c r="AS10" s="18" t="s">
        <v>59</v>
      </c>
      <c r="AU10" s="1" t="s">
        <v>155</v>
      </c>
    </row>
    <row r="11" spans="1:47" ht="12.75">
      <c r="A11" s="18"/>
      <c r="B11" s="18"/>
      <c r="C11" s="18"/>
      <c r="D11" s="461" t="s">
        <v>56</v>
      </c>
      <c r="E11" s="462"/>
      <c r="F11" s="434"/>
      <c r="G11" s="523"/>
      <c r="H11" s="532" t="s">
        <v>50</v>
      </c>
      <c r="I11" s="533"/>
      <c r="J11" s="194"/>
      <c r="K11" s="14" t="s">
        <v>51</v>
      </c>
      <c r="L11" s="200"/>
      <c r="M11" s="15" t="s">
        <v>52</v>
      </c>
      <c r="N11" s="16"/>
      <c r="O11" s="17" t="s">
        <v>60</v>
      </c>
      <c r="P11" s="226"/>
      <c r="Q11" s="18"/>
      <c r="S11">
        <v>1001</v>
      </c>
      <c r="T11">
        <v>3</v>
      </c>
      <c r="V11" s="7">
        <f t="shared" si="10"/>
        <v>0</v>
      </c>
      <c r="X11" s="7"/>
      <c r="Y11" s="7">
        <v>6</v>
      </c>
      <c r="Z11" s="12">
        <f t="shared" si="2"/>
      </c>
      <c r="AA11" s="65">
        <f t="shared" si="3"/>
        <v>0</v>
      </c>
      <c r="AB11" s="65" t="e">
        <f t="shared" si="4"/>
        <v>#VALUE!</v>
      </c>
      <c r="AC11" s="12" t="e">
        <f t="shared" si="0"/>
        <v>#VALUE!</v>
      </c>
      <c r="AD11">
        <f t="shared" si="11"/>
      </c>
      <c r="AF11" s="12">
        <f t="shared" si="1"/>
        <v>0</v>
      </c>
      <c r="AG11" s="7" t="s">
        <v>61</v>
      </c>
      <c r="AH11" s="12" t="e">
        <f t="shared" si="12"/>
        <v>#VALUE!</v>
      </c>
      <c r="AI11" s="12" t="e">
        <f t="shared" si="5"/>
        <v>#VALUE!</v>
      </c>
      <c r="AJ11" s="65" t="e">
        <f t="shared" si="6"/>
        <v>#VALUE!</v>
      </c>
      <c r="AK11" s="7" t="s">
        <v>61</v>
      </c>
      <c r="AL11" s="12" t="e">
        <f t="shared" si="7"/>
        <v>#VALUE!</v>
      </c>
      <c r="AM11" s="12" t="e">
        <f t="shared" si="8"/>
        <v>#VALUE!</v>
      </c>
      <c r="AN11" s="65" t="e">
        <f t="shared" si="9"/>
        <v>#VALUE!</v>
      </c>
      <c r="AO11" s="7" t="s">
        <v>61</v>
      </c>
      <c r="AS11" s="18" t="s">
        <v>62</v>
      </c>
      <c r="AU11" s="1" t="s">
        <v>156</v>
      </c>
    </row>
    <row r="12" spans="1:47" ht="12.75">
      <c r="A12" s="18"/>
      <c r="B12" s="18"/>
      <c r="C12" s="18"/>
      <c r="D12" s="461" t="s">
        <v>58</v>
      </c>
      <c r="E12" s="462"/>
      <c r="F12" s="434"/>
      <c r="G12" s="523"/>
      <c r="H12" s="532" t="s">
        <v>50</v>
      </c>
      <c r="I12" s="533"/>
      <c r="J12" s="194"/>
      <c r="K12" s="14" t="s">
        <v>51</v>
      </c>
      <c r="L12" s="200"/>
      <c r="M12" s="15" t="s">
        <v>52</v>
      </c>
      <c r="N12" s="16"/>
      <c r="O12" s="4" t="s">
        <v>63</v>
      </c>
      <c r="P12" s="227"/>
      <c r="Q12" s="18"/>
      <c r="S12">
        <v>1601</v>
      </c>
      <c r="T12">
        <v>4</v>
      </c>
      <c r="V12" s="7">
        <f t="shared" si="10"/>
        <v>0</v>
      </c>
      <c r="X12" s="7"/>
      <c r="Y12" s="7">
        <v>7</v>
      </c>
      <c r="Z12" s="12">
        <f t="shared" si="2"/>
      </c>
      <c r="AA12" s="65">
        <f t="shared" si="3"/>
        <v>0</v>
      </c>
      <c r="AB12" s="65" t="e">
        <f t="shared" si="4"/>
        <v>#VALUE!</v>
      </c>
      <c r="AC12" s="12" t="e">
        <f t="shared" si="0"/>
        <v>#VALUE!</v>
      </c>
      <c r="AD12">
        <f t="shared" si="11"/>
      </c>
      <c r="AF12" s="12">
        <f t="shared" si="1"/>
        <v>0</v>
      </c>
      <c r="AG12" s="7" t="s">
        <v>237</v>
      </c>
      <c r="AH12" s="12" t="e">
        <f t="shared" si="12"/>
        <v>#VALUE!</v>
      </c>
      <c r="AI12" s="12" t="e">
        <f t="shared" si="5"/>
        <v>#VALUE!</v>
      </c>
      <c r="AJ12" s="65" t="e">
        <f t="shared" si="6"/>
        <v>#VALUE!</v>
      </c>
      <c r="AK12" s="7" t="s">
        <v>237</v>
      </c>
      <c r="AL12" s="12" t="e">
        <f t="shared" si="7"/>
        <v>#VALUE!</v>
      </c>
      <c r="AM12" s="12" t="e">
        <f t="shared" si="8"/>
        <v>#VALUE!</v>
      </c>
      <c r="AN12" s="65" t="e">
        <f t="shared" si="9"/>
        <v>#VALUE!</v>
      </c>
      <c r="AO12" s="7" t="s">
        <v>237</v>
      </c>
      <c r="AS12" s="18" t="s">
        <v>64</v>
      </c>
      <c r="AU12" s="1" t="s">
        <v>157</v>
      </c>
    </row>
    <row r="13" spans="1:47" ht="12.75">
      <c r="A13" s="18"/>
      <c r="B13" s="18"/>
      <c r="C13" s="18"/>
      <c r="D13" s="461" t="s">
        <v>61</v>
      </c>
      <c r="E13" s="462"/>
      <c r="F13" s="434"/>
      <c r="G13" s="523"/>
      <c r="H13" s="532" t="s">
        <v>50</v>
      </c>
      <c r="I13" s="533"/>
      <c r="J13" s="194"/>
      <c r="K13" s="14" t="s">
        <v>51</v>
      </c>
      <c r="L13" s="200"/>
      <c r="M13" s="15" t="s">
        <v>52</v>
      </c>
      <c r="N13" s="16"/>
      <c r="O13" s="4" t="s">
        <v>5</v>
      </c>
      <c r="P13" s="198"/>
      <c r="Q13" s="18"/>
      <c r="S13">
        <v>3601</v>
      </c>
      <c r="T13">
        <v>5</v>
      </c>
      <c r="V13" s="7">
        <f t="shared" si="10"/>
        <v>0</v>
      </c>
      <c r="X13" s="7"/>
      <c r="Y13" s="7">
        <v>8</v>
      </c>
      <c r="Z13" s="12">
        <f t="shared" si="2"/>
      </c>
      <c r="AA13" s="65">
        <f t="shared" si="3"/>
        <v>0</v>
      </c>
      <c r="AB13" s="65" t="e">
        <f t="shared" si="4"/>
        <v>#VALUE!</v>
      </c>
      <c r="AC13" s="12" t="e">
        <f t="shared" si="0"/>
        <v>#VALUE!</v>
      </c>
      <c r="AD13">
        <f t="shared" si="11"/>
      </c>
      <c r="AF13" s="12">
        <f t="shared" si="1"/>
        <v>0</v>
      </c>
      <c r="AG13" s="7" t="s">
        <v>238</v>
      </c>
      <c r="AH13" s="12" t="e">
        <f t="shared" si="12"/>
        <v>#VALUE!</v>
      </c>
      <c r="AI13" s="12" t="e">
        <f t="shared" si="5"/>
        <v>#VALUE!</v>
      </c>
      <c r="AJ13" s="65" t="e">
        <f t="shared" si="6"/>
        <v>#VALUE!</v>
      </c>
      <c r="AK13" s="7" t="s">
        <v>238</v>
      </c>
      <c r="AL13" s="12" t="e">
        <f t="shared" si="7"/>
        <v>#VALUE!</v>
      </c>
      <c r="AM13" s="12" t="e">
        <f t="shared" si="8"/>
        <v>#VALUE!</v>
      </c>
      <c r="AN13" s="65" t="e">
        <f t="shared" si="9"/>
        <v>#VALUE!</v>
      </c>
      <c r="AO13" s="7" t="s">
        <v>238</v>
      </c>
      <c r="AS13" s="18" t="s">
        <v>65</v>
      </c>
      <c r="AU13" s="1" t="s">
        <v>158</v>
      </c>
    </row>
    <row r="14" spans="1:47" ht="12.75">
      <c r="A14" s="18"/>
      <c r="B14" s="18"/>
      <c r="C14" s="18"/>
      <c r="D14" s="461" t="s">
        <v>237</v>
      </c>
      <c r="E14" s="462"/>
      <c r="F14" s="434"/>
      <c r="G14" s="523"/>
      <c r="H14" s="532" t="s">
        <v>50</v>
      </c>
      <c r="I14" s="533"/>
      <c r="J14" s="194"/>
      <c r="K14" s="14" t="s">
        <v>51</v>
      </c>
      <c r="L14" s="200"/>
      <c r="M14" s="15" t="s">
        <v>52</v>
      </c>
      <c r="N14" s="16"/>
      <c r="O14" s="4"/>
      <c r="P14" s="198"/>
      <c r="Q14" s="18"/>
      <c r="S14">
        <v>5001</v>
      </c>
      <c r="T14">
        <v>6</v>
      </c>
      <c r="V14" s="7">
        <f t="shared" si="10"/>
        <v>0</v>
      </c>
      <c r="X14" s="7"/>
      <c r="Y14" s="7"/>
      <c r="Z14" s="12"/>
      <c r="AC14" s="12"/>
      <c r="AF14" s="12"/>
      <c r="AS14" s="18" t="s">
        <v>68</v>
      </c>
      <c r="AU14" s="1" t="s">
        <v>159</v>
      </c>
    </row>
    <row r="15" spans="1:47" ht="12.75">
      <c r="A15" s="18"/>
      <c r="B15" s="18"/>
      <c r="C15" s="18"/>
      <c r="D15" s="461" t="s">
        <v>238</v>
      </c>
      <c r="E15" s="462"/>
      <c r="F15" s="434"/>
      <c r="G15" s="523"/>
      <c r="H15" s="532" t="s">
        <v>50</v>
      </c>
      <c r="I15" s="533"/>
      <c r="J15" s="194"/>
      <c r="K15" s="14" t="s">
        <v>51</v>
      </c>
      <c r="L15" s="200"/>
      <c r="M15" s="15" t="s">
        <v>52</v>
      </c>
      <c r="N15" s="16"/>
      <c r="O15" s="4"/>
      <c r="P15" s="198"/>
      <c r="Q15" s="18"/>
      <c r="V15" s="7">
        <f t="shared" si="10"/>
        <v>0</v>
      </c>
      <c r="X15" s="7">
        <v>2</v>
      </c>
      <c r="Y15" s="7">
        <v>1</v>
      </c>
      <c r="Z15" s="12">
        <f>IF($L$16&lt;2,"",IF(ROUND(AF6,0)=0,"",$L$17))</f>
      </c>
      <c r="AA15" s="65">
        <f>IF(Z15&lt;0.5,0,IF(Z15="",0,IF(AB6=0,$J$8,AB6)))</f>
        <v>0</v>
      </c>
      <c r="AB15" s="65">
        <f aca="true" t="shared" si="13" ref="AB15:AB22">IF(Z15="",0,IF(Z15&lt;0.5,0,IF(Z15&lt;=AF6,AA15+Z15*V8,L8)))</f>
        <v>0</v>
      </c>
      <c r="AC15" s="12">
        <f aca="true" t="shared" si="14" ref="AC15:AC22">ABS(AB15-AA15)</f>
        <v>0</v>
      </c>
      <c r="AD15">
        <f>IF(N8=0,"",IF(Z15="","",IF(ROUND(AC15-N8,0)=0,"LOT 2",IF(Z15&lt;0.5,"",IF(AB15-AA15&lt;N8,"PARTIAL","NOT")))))</f>
      </c>
      <c r="AF15" s="12">
        <f>IF(Z15="",0,$N$8-AC15-AC6)</f>
        <v>0</v>
      </c>
      <c r="AG15" s="7" t="s">
        <v>46</v>
      </c>
      <c r="AH15" s="12">
        <f>IF(AC15=0,"",J24)</f>
      </c>
      <c r="AI15" s="12">
        <f>IF(AC15=0,"",IF(AC15&gt;=AH15,AH15,AC15))</f>
      </c>
      <c r="AJ15" s="65">
        <f>IF(AH15="","",IF(AI15=AC15,"",AA15+AI15*V8))</f>
      </c>
      <c r="AK15" s="7" t="s">
        <v>46</v>
      </c>
      <c r="AL15" s="12">
        <f>IF(AC15=0,"",$J$25)</f>
      </c>
      <c r="AM15" s="12">
        <f>IF(AC15=0,"",IF(AC15&gt;=AL15,AL15,AC15))</f>
      </c>
      <c r="AN15" s="65">
        <f>IF(AL15="","",IF(AM15=AC15,"",AA15+AM15*V8))</f>
      </c>
      <c r="AO15" s="7" t="s">
        <v>46</v>
      </c>
      <c r="AS15" s="18" t="s">
        <v>72</v>
      </c>
      <c r="AU15" s="1" t="s">
        <v>160</v>
      </c>
    </row>
    <row r="16" spans="1:47" ht="12.75">
      <c r="A16" s="18"/>
      <c r="B16" s="18"/>
      <c r="C16" s="18"/>
      <c r="D16" s="107"/>
      <c r="E16" s="107"/>
      <c r="F16" s="107"/>
      <c r="G16" s="107"/>
      <c r="H16" s="534" t="s">
        <v>66</v>
      </c>
      <c r="I16" s="534"/>
      <c r="J16" s="201"/>
      <c r="K16" s="17" t="s">
        <v>67</v>
      </c>
      <c r="L16" s="25"/>
      <c r="M16" s="15" t="s">
        <v>3</v>
      </c>
      <c r="N16" s="87"/>
      <c r="O16" s="4"/>
      <c r="P16" s="26"/>
      <c r="Q16" s="18"/>
      <c r="X16" s="7"/>
      <c r="Y16" s="7">
        <v>2</v>
      </c>
      <c r="Z16" s="12">
        <f aca="true" t="shared" si="15" ref="Z16:Z22">IF(ROUND(AF7,0)=0,"",IF(Z15="",$L$17,ABS(Z15-AC15)))</f>
      </c>
      <c r="AA16" s="65">
        <f>IF(Z16&lt;0.5,0,IF(Z16="",0,IF(AB7=0,$J$9,AB7)))</f>
        <v>0</v>
      </c>
      <c r="AB16" s="65">
        <f t="shared" si="13"/>
        <v>0</v>
      </c>
      <c r="AC16" s="12">
        <f t="shared" si="14"/>
        <v>0</v>
      </c>
      <c r="AD16">
        <f>IF(N9=0,"",IF(Z16="","",IF(ROUND(AC16-N9,0)=0,"LOT 2",IF(Z16&lt;0.5,"",IF(AB16-AA16&lt;N9,"PARTIAL","NOT")))))</f>
      </c>
      <c r="AF16" s="12">
        <f>IF(Z16="",0,$N$9-AC16-AC7)</f>
        <v>0</v>
      </c>
      <c r="AG16" s="7" t="s">
        <v>49</v>
      </c>
      <c r="AH16" s="12">
        <f>IF(AC16=0,"",IF(AI15="",$J$24,IF(AJ15="",AH15-AI15,"")))</f>
      </c>
      <c r="AI16" s="12">
        <f aca="true" t="shared" si="16" ref="AI16:AI22">IF(AH16="","",IF(AC16&gt;=AH16,AH16,AC16))</f>
      </c>
      <c r="AJ16" s="65">
        <f aca="true" t="shared" si="17" ref="AJ16:AJ22">IF(AH16="","",IF(ROUND(AI16-AH16,0)=0,AA16+AI16*V9,IF(AI16=AC16,"",AA16+AI16*V9)))</f>
      </c>
      <c r="AK16" s="7" t="s">
        <v>49</v>
      </c>
      <c r="AL16" s="12">
        <f>IF(AC16=0,"",IF(AM15="",$J$25,IF(AN15="",AL15-AM15,"")))</f>
      </c>
      <c r="AM16" s="12">
        <f aca="true" t="shared" si="18" ref="AM16:AM22">IF(AL16="","",IF(AC16&gt;=AL16,AL16,AC16))</f>
      </c>
      <c r="AN16" s="65">
        <f aca="true" t="shared" si="19" ref="AN16:AN22">IF(AL16="","",IF(ROUND(AM16-AL16,0)=0,AA16+AM16*V9,IF(AM16=AC16,"",AA16+AM16*V9)))</f>
      </c>
      <c r="AO16" s="7" t="s">
        <v>49</v>
      </c>
      <c r="AS16" s="18" t="s">
        <v>73</v>
      </c>
      <c r="AU16" s="1" t="s">
        <v>161</v>
      </c>
    </row>
    <row r="17" spans="1:47" ht="12.75">
      <c r="A17" s="18"/>
      <c r="B17" s="18"/>
      <c r="C17" s="18"/>
      <c r="D17" s="107"/>
      <c r="E17" s="107"/>
      <c r="F17" s="107"/>
      <c r="G17" s="107"/>
      <c r="H17" s="534" t="s">
        <v>69</v>
      </c>
      <c r="I17" s="534"/>
      <c r="J17" s="27"/>
      <c r="K17" s="17" t="s">
        <v>70</v>
      </c>
      <c r="L17" s="28"/>
      <c r="M17" s="15" t="s">
        <v>4</v>
      </c>
      <c r="N17" s="199"/>
      <c r="O17" s="4" t="s">
        <v>71</v>
      </c>
      <c r="P17" s="155"/>
      <c r="Q17" s="18"/>
      <c r="X17" s="7"/>
      <c r="Y17" s="7">
        <v>3</v>
      </c>
      <c r="Z17" s="12">
        <f t="shared" si="15"/>
      </c>
      <c r="AA17" s="65">
        <f>IF(Z17&lt;0.5,0,IF(Z17="",0,IF(AB8=0,$J$10,AB8)))</f>
        <v>0</v>
      </c>
      <c r="AB17" s="65">
        <f t="shared" si="13"/>
        <v>0</v>
      </c>
      <c r="AC17" s="12">
        <f t="shared" si="14"/>
        <v>0</v>
      </c>
      <c r="AD17">
        <f>IF(N10=0,"",IF(Z17="","",IF(ROUND(AC17-N10,0)=0,"LOT2",IF(Z17&lt;0.5,"",IF(AB17-AA17&lt;N10,"PARTIAL","NOT")))))</f>
      </c>
      <c r="AF17" s="12">
        <f>IF(Z17="",0,$N$10-AC17-AC8)</f>
        <v>0</v>
      </c>
      <c r="AG17" s="7" t="s">
        <v>54</v>
      </c>
      <c r="AH17" s="12">
        <f>IF(AC17=0,"",IF(AND(AI15="",AI16=""),$J$24,IF(AND(AJ15="",AJ16=""),AH16-AI16,"")))</f>
      </c>
      <c r="AI17" s="12">
        <f t="shared" si="16"/>
      </c>
      <c r="AJ17" s="65">
        <f t="shared" si="17"/>
      </c>
      <c r="AK17" s="7" t="s">
        <v>54</v>
      </c>
      <c r="AL17" s="12">
        <f>IF(AC17=0,"",IF(AND(AM15="",AM16=""),$J$25,IF(AND(AN15="",AN16=""),AL16-AM16,"")))</f>
      </c>
      <c r="AM17" s="12">
        <f t="shared" si="18"/>
      </c>
      <c r="AN17" s="65">
        <f t="shared" si="19"/>
      </c>
      <c r="AO17" s="7" t="s">
        <v>54</v>
      </c>
      <c r="AS17" s="18" t="s">
        <v>74</v>
      </c>
      <c r="AU17" s="1" t="s">
        <v>162</v>
      </c>
    </row>
    <row r="18" spans="1:47" ht="12.75">
      <c r="A18" s="18"/>
      <c r="B18" s="18"/>
      <c r="C18" s="18"/>
      <c r="D18" s="18"/>
      <c r="E18" s="18"/>
      <c r="F18" s="107"/>
      <c r="G18" s="107"/>
      <c r="H18" s="84"/>
      <c r="I18" s="107"/>
      <c r="J18" s="107"/>
      <c r="K18" s="107"/>
      <c r="L18" s="107"/>
      <c r="M18" s="107"/>
      <c r="N18" s="107"/>
      <c r="O18" s="107"/>
      <c r="P18" s="107"/>
      <c r="Q18" s="18"/>
      <c r="V18" s="7"/>
      <c r="X18" s="7"/>
      <c r="Y18" s="7">
        <v>4</v>
      </c>
      <c r="Z18" s="12">
        <f t="shared" si="15"/>
      </c>
      <c r="AA18" s="65">
        <f>IF(Z18&lt;0.5,0,IF(Z18="",0,IF(AB9=0,$J$11,AB9)))</f>
        <v>0</v>
      </c>
      <c r="AB18" s="65">
        <f t="shared" si="13"/>
        <v>0</v>
      </c>
      <c r="AC18" s="12">
        <f t="shared" si="14"/>
        <v>0</v>
      </c>
      <c r="AD18">
        <f>IF(N11=0,"",IF(Z18="","",IF(ROUND(AC18-N11,0)=0,"LOT 2",IF(Z18&lt;0.5,"",IF(AB18-AA18&lt;N11,"PARTIAL","NOT")))))</f>
      </c>
      <c r="AF18" s="12">
        <f>IF(Z18="",0,$N$11-AC18-AC9)</f>
        <v>0</v>
      </c>
      <c r="AG18" s="7" t="s">
        <v>56</v>
      </c>
      <c r="AH18" s="12">
        <f>IF(AC18=0,"",IF(AND(AI15="",AI16="",AI17=""),$J$24,IF(AND(AJ15="",AJ16="",AJ17=""),AH17-AI17,"")))</f>
      </c>
      <c r="AI18" s="12">
        <f t="shared" si="16"/>
      </c>
      <c r="AJ18" s="65">
        <f t="shared" si="17"/>
      </c>
      <c r="AK18" s="7" t="s">
        <v>56</v>
      </c>
      <c r="AL18" s="12">
        <f>IF(AC18=0,"",IF(AND(AM15="",AM16="",AM17=""),$J$25,IF(AND(AN15="",AN16="",AN17=""),AL17-AM17,"")))</f>
      </c>
      <c r="AM18" s="12">
        <f t="shared" si="18"/>
      </c>
      <c r="AN18" s="65">
        <f t="shared" si="19"/>
      </c>
      <c r="AO18" s="7" t="s">
        <v>56</v>
      </c>
      <c r="AS18" s="18"/>
      <c r="AU18" s="1" t="s">
        <v>163</v>
      </c>
    </row>
    <row r="19" spans="1:47" ht="12.75">
      <c r="A19" s="18"/>
      <c r="B19" s="18"/>
      <c r="C19" s="18"/>
      <c r="D19" s="18"/>
      <c r="E19" s="18"/>
      <c r="F19" s="18"/>
      <c r="G19" s="18"/>
      <c r="H19" s="18"/>
      <c r="I19" s="18"/>
      <c r="J19" s="18"/>
      <c r="K19" s="18"/>
      <c r="L19" s="18"/>
      <c r="M19" s="18"/>
      <c r="N19" s="18"/>
      <c r="O19" s="18"/>
      <c r="P19" s="18"/>
      <c r="Q19" s="18"/>
      <c r="U19" s="7" t="s">
        <v>37</v>
      </c>
      <c r="V19" s="7" t="s">
        <v>86</v>
      </c>
      <c r="W19" s="20" t="s">
        <v>32</v>
      </c>
      <c r="X19" s="7"/>
      <c r="Y19" s="7">
        <v>5</v>
      </c>
      <c r="Z19" s="12">
        <f t="shared" si="15"/>
      </c>
      <c r="AA19" s="65">
        <f>IF(Z19&lt;0.5,0,IF(Z19="",0,IF(AB10=0,$J$12,AB10)))</f>
        <v>0</v>
      </c>
      <c r="AB19" s="65">
        <f t="shared" si="13"/>
        <v>0</v>
      </c>
      <c r="AC19" s="12">
        <f t="shared" si="14"/>
        <v>0</v>
      </c>
      <c r="AD19">
        <f>IF(N12=0,"",IF(Z19="","",IF(ROUND(AC19-N12,0)=0,"LOT 2",IF(Z19&lt;0.5,"",IF(AB19-AA19&lt;N12,"PARTIAL","NOT")))))</f>
      </c>
      <c r="AF19" s="12">
        <f>IF(Z19="",0,$N$12-AC19-AC10)</f>
        <v>0</v>
      </c>
      <c r="AG19" s="7" t="s">
        <v>58</v>
      </c>
      <c r="AH19" s="12">
        <f>IF(AC19=0,"",IF(AND(AI15="",AI16="",AI17="",AI18=""),$J$24,IF(AND(AJ15="",AJ16="",AJ17="",AJ18=""),AH18-AI18,"")))</f>
      </c>
      <c r="AI19" s="12">
        <f t="shared" si="16"/>
      </c>
      <c r="AJ19" s="65">
        <f t="shared" si="17"/>
      </c>
      <c r="AK19" s="7" t="s">
        <v>58</v>
      </c>
      <c r="AL19" s="12">
        <f>IF(AC19=0,"",IF(AND(AM15="",AM16="",AM17="",AM18=""),$J$25,IF(AND(AN15="",AN16="",AN17="",AN18=""),AL18-AM18,"")))</f>
      </c>
      <c r="AM19" s="12">
        <f t="shared" si="18"/>
      </c>
      <c r="AN19" s="65">
        <f t="shared" si="19"/>
      </c>
      <c r="AO19" s="7" t="s">
        <v>58</v>
      </c>
      <c r="AU19" s="1" t="s">
        <v>164</v>
      </c>
    </row>
    <row r="20" spans="1:47" ht="12.75">
      <c r="A20" s="18"/>
      <c r="B20" s="18"/>
      <c r="C20" s="31"/>
      <c r="D20" s="202"/>
      <c r="E20" s="32"/>
      <c r="F20" s="33" t="s">
        <v>75</v>
      </c>
      <c r="G20" s="33" t="s">
        <v>34</v>
      </c>
      <c r="H20" s="13" t="s">
        <v>76</v>
      </c>
      <c r="I20" s="13" t="s">
        <v>34</v>
      </c>
      <c r="J20" s="13" t="s">
        <v>77</v>
      </c>
      <c r="K20" s="89" t="s">
        <v>42</v>
      </c>
      <c r="L20" s="13" t="s">
        <v>42</v>
      </c>
      <c r="M20" s="33" t="s">
        <v>78</v>
      </c>
      <c r="N20" s="13" t="s">
        <v>76</v>
      </c>
      <c r="O20" s="13" t="s">
        <v>79</v>
      </c>
      <c r="P20" s="13" t="s">
        <v>80</v>
      </c>
      <c r="Q20" s="18"/>
      <c r="U20" s="7" t="s">
        <v>88</v>
      </c>
      <c r="V20" s="7" t="e">
        <f>VLOOKUP(10000000,$AJ$6:$AK$13,2)</f>
        <v>#N/A</v>
      </c>
      <c r="W20" s="65" t="e">
        <f>VLOOKUP(V20,$AG$6:$AJ$13,4)</f>
        <v>#N/A</v>
      </c>
      <c r="X20" s="7"/>
      <c r="Y20" s="7">
        <v>6</v>
      </c>
      <c r="Z20" s="12">
        <f t="shared" si="15"/>
      </c>
      <c r="AA20" s="65">
        <f>IF(Z20&lt;0.5,0,IF(Z20="",0,IF(AB11=0,$J$13,AB11)))</f>
        <v>0</v>
      </c>
      <c r="AB20" s="65">
        <f t="shared" si="13"/>
        <v>0</v>
      </c>
      <c r="AC20" s="12">
        <f t="shared" si="14"/>
        <v>0</v>
      </c>
      <c r="AD20">
        <f>IF(N13=0,"",IF(Z20="","",IF(ROUND(AC20-N13,0)=0,"LOT 2",IF(Z20&lt;0.5,"",IF(AB20-AA20&lt;N13,"PARTIAL","NOT")))))</f>
      </c>
      <c r="AF20" s="12">
        <f>IF(Z20="",0,$N$13-AC20-AC11)</f>
        <v>0</v>
      </c>
      <c r="AG20" s="7" t="s">
        <v>61</v>
      </c>
      <c r="AH20" s="12">
        <f>IF(AC20=0,"",IF(AND(AI15="",AI16="",AI17="",AI18="",AI19=""),$J$24,IF(AND(AJ15="",AJ16="",AJ17="",AJ18="",AJ19=""),AH19-AI19,"")))</f>
      </c>
      <c r="AI20" s="12">
        <f t="shared" si="16"/>
      </c>
      <c r="AJ20" s="65">
        <f t="shared" si="17"/>
      </c>
      <c r="AK20" s="7" t="s">
        <v>61</v>
      </c>
      <c r="AL20" s="12">
        <f>IF(AC20=0,"",IF(AND(AM15="",AM16="",AM17="",AM18="",AM19=""),$J$25,IF(AND(AN15="",AN16="",AN17="",AN18="",AN19=""),AL19-AM19,"")))</f>
      </c>
      <c r="AM20" s="12">
        <f t="shared" si="18"/>
      </c>
      <c r="AN20" s="65">
        <f t="shared" si="19"/>
      </c>
      <c r="AO20" s="7" t="s">
        <v>61</v>
      </c>
      <c r="AU20" s="1" t="s">
        <v>165</v>
      </c>
    </row>
    <row r="21" spans="1:47" ht="12.75">
      <c r="A21" s="18"/>
      <c r="B21" s="18"/>
      <c r="C21" s="34"/>
      <c r="D21" s="203"/>
      <c r="E21" s="35"/>
      <c r="F21" s="36"/>
      <c r="G21" s="37" t="s">
        <v>82</v>
      </c>
      <c r="H21" s="38" t="s">
        <v>83</v>
      </c>
      <c r="I21" s="38" t="s">
        <v>30</v>
      </c>
      <c r="J21" s="38"/>
      <c r="K21" s="90"/>
      <c r="L21" s="38" t="s">
        <v>84</v>
      </c>
      <c r="M21" s="36" t="s">
        <v>37</v>
      </c>
      <c r="N21" s="38" t="s">
        <v>83</v>
      </c>
      <c r="O21" s="38" t="s">
        <v>85</v>
      </c>
      <c r="P21" s="38" t="s">
        <v>37</v>
      </c>
      <c r="Q21" s="18"/>
      <c r="U21" s="7" t="s">
        <v>89</v>
      </c>
      <c r="V21" s="7" t="e">
        <f>VLOOKUP(10000000,$AN$6:$AO$13,2)</f>
        <v>#N/A</v>
      </c>
      <c r="W21" s="65" t="e">
        <f>VLOOKUP(V21,$AK$6:$AN$13,4)</f>
        <v>#N/A</v>
      </c>
      <c r="X21" s="7"/>
      <c r="Y21" s="7">
        <v>7</v>
      </c>
      <c r="Z21" s="12">
        <f t="shared" si="15"/>
      </c>
      <c r="AA21" s="65">
        <f>IF(Z21&lt;0.5,0,IF(Z21="",0,IF(AB12=0,$J$14,AB12)))</f>
        <v>0</v>
      </c>
      <c r="AB21" s="65">
        <f t="shared" si="13"/>
        <v>0</v>
      </c>
      <c r="AC21" s="12">
        <f t="shared" si="14"/>
        <v>0</v>
      </c>
      <c r="AD21">
        <f>IF(N14=0,"",IF(Z21="","",IF(ROUND(AC21-N14,0)=0,"LOT 2",IF(Z21&lt;0.5,"",IF(AB21-AA21&lt;N14,"PARTIAL","NOT")))))</f>
      </c>
      <c r="AF21" s="12">
        <f>IF(Z21="",0,$N$14-AC21-AC12)</f>
        <v>0</v>
      </c>
      <c r="AG21" s="7" t="s">
        <v>237</v>
      </c>
      <c r="AH21" s="12">
        <f>IF(AC21=0,"",IF(AND(AI15="",AI16="",AI17="",AI18="",AI19="",AI20=""),$J$24,IF(AND(AJ15="",AJ16="",AJ17="",AJ18="",AJ19="",AJ20=""),AH20-AI20,"")))</f>
      </c>
      <c r="AI21" s="12">
        <f t="shared" si="16"/>
      </c>
      <c r="AJ21" s="65">
        <f t="shared" si="17"/>
      </c>
      <c r="AK21" s="7" t="s">
        <v>237</v>
      </c>
      <c r="AL21" s="12">
        <f>IF(AC21=0,"",IF(AND(AM15="",AM16="",AM17="",AM18="",AM19="",AM20=""),$J$25,IF(AND(AN15="",AN16="",AN17="",AN18="",AN19="",AN20=""),AL20-AM20,"")))</f>
      </c>
      <c r="AM21" s="12">
        <f t="shared" si="18"/>
      </c>
      <c r="AN21" s="65">
        <f t="shared" si="19"/>
      </c>
      <c r="AO21" s="7" t="s">
        <v>237</v>
      </c>
      <c r="AU21" s="1" t="s">
        <v>166</v>
      </c>
    </row>
    <row r="22" spans="1:47" ht="15">
      <c r="A22" s="18"/>
      <c r="B22" s="111" t="s">
        <v>87</v>
      </c>
      <c r="C22" s="40" t="s">
        <v>34</v>
      </c>
      <c r="D22" s="13" t="s">
        <v>230</v>
      </c>
      <c r="E22" s="95"/>
      <c r="F22" s="156"/>
      <c r="G22" s="41"/>
      <c r="H22" s="167"/>
      <c r="I22" s="56"/>
      <c r="J22" s="42"/>
      <c r="K22" s="23"/>
      <c r="L22" s="38"/>
      <c r="M22" s="91"/>
      <c r="N22" s="167"/>
      <c r="O22" s="43"/>
      <c r="P22" s="43"/>
      <c r="Q22" s="18"/>
      <c r="R22" s="44"/>
      <c r="U22" s="7" t="s">
        <v>90</v>
      </c>
      <c r="V22" s="7">
        <f>IF($L$16&lt;2,"",VLOOKUP(10000000,$AJ$15:$AK$22,2))</f>
      </c>
      <c r="W22" s="65">
        <f>IF(V22="","",VLOOKUP(V22,$AG$15:$AJ$22,4))</f>
      </c>
      <c r="X22" s="7"/>
      <c r="Y22" s="7">
        <v>8</v>
      </c>
      <c r="Z22" s="12">
        <f t="shared" si="15"/>
      </c>
      <c r="AA22" s="65">
        <f>IF(Z22&lt;0.5,0,IF(Z22="",0,IF(AB13=0,$J$15,AB13)))</f>
        <v>0</v>
      </c>
      <c r="AB22" s="65">
        <f t="shared" si="13"/>
        <v>0</v>
      </c>
      <c r="AC22" s="12">
        <f t="shared" si="14"/>
        <v>0</v>
      </c>
      <c r="AD22">
        <f>IF(N15=0,"",IF(Z22="","",IF(ROUND(AC22-N15,0)=0,"LOT 2",IF(Z22&lt;0.5,"",IF(AB22-AA22&lt;N15,"PARTIAL","NOT")))))</f>
      </c>
      <c r="AF22" s="12">
        <f>IF(Z22="",0,$N$15-AC22-AC13)</f>
        <v>0</v>
      </c>
      <c r="AG22" s="7" t="s">
        <v>238</v>
      </c>
      <c r="AH22" s="12">
        <f>IF(AC22=0,"",IF(AND(AI15="",AI16="",AI17="",AI18="",AI19="",AI20="",AI21=""),$J$24,IF(AND(AJ15="",AJ16="",AJ17="",AJ18="",AJ19="",AJ20="",AJ21=""),AH21-AI21,"")))</f>
      </c>
      <c r="AI22" s="12">
        <f t="shared" si="16"/>
      </c>
      <c r="AJ22" s="65">
        <f t="shared" si="17"/>
      </c>
      <c r="AK22" s="7" t="s">
        <v>238</v>
      </c>
      <c r="AL22" s="12">
        <f>IF(AC22=0,"",IF(AND(AM15="",AM16="",AM17="",AM18="",AM19="",AM20="",AM21=""),$J$25,IF(AND(AN15="",AN16="",AN17="",AN18="",AN19="",AN20="",AN21=""),AL21-AM21,"")))</f>
      </c>
      <c r="AM22" s="12">
        <f t="shared" si="18"/>
      </c>
      <c r="AN22" s="65">
        <f t="shared" si="19"/>
      </c>
      <c r="AO22" s="7" t="s">
        <v>238</v>
      </c>
      <c r="AU22" s="1" t="s">
        <v>167</v>
      </c>
    </row>
    <row r="23" spans="1:47" ht="15">
      <c r="A23" s="18"/>
      <c r="B23" s="111">
        <v>1</v>
      </c>
      <c r="C23" s="228"/>
      <c r="D23" s="23" t="s">
        <v>230</v>
      </c>
      <c r="E23" s="11"/>
      <c r="F23" s="157"/>
      <c r="G23" s="92"/>
      <c r="H23" s="167"/>
      <c r="I23" s="47"/>
      <c r="J23" s="42"/>
      <c r="K23" s="23"/>
      <c r="L23" s="38"/>
      <c r="M23" s="91"/>
      <c r="N23" s="167"/>
      <c r="O23" s="43"/>
      <c r="P23" s="43"/>
      <c r="Q23" s="18"/>
      <c r="R23" s="44"/>
      <c r="U23" s="7" t="s">
        <v>6</v>
      </c>
      <c r="V23" s="7">
        <f>IF($L$16&lt;2,"",VLOOKUP(10000000,$AN$15:$AO$22,2))</f>
      </c>
      <c r="W23" s="65">
        <f>IF(V23="","",VLOOKUP(V23,$AK$15:$AN$22,4))</f>
      </c>
      <c r="X23" s="7"/>
      <c r="Y23" s="7"/>
      <c r="Z23" s="12"/>
      <c r="AC23" s="12"/>
      <c r="AU23" s="1" t="s">
        <v>168</v>
      </c>
    </row>
    <row r="24" spans="1:47" ht="15">
      <c r="A24" s="18"/>
      <c r="B24" s="111">
        <v>1</v>
      </c>
      <c r="C24" s="40" t="s">
        <v>34</v>
      </c>
      <c r="D24" s="48" t="s">
        <v>230</v>
      </c>
      <c r="E24" s="23">
        <f>IF(C25="","",C25+0.1)</f>
      </c>
      <c r="F24" s="158"/>
      <c r="G24" s="49"/>
      <c r="H24" s="167"/>
      <c r="I24" s="42"/>
      <c r="J24" s="42"/>
      <c r="K24" s="23"/>
      <c r="L24" s="38"/>
      <c r="M24" s="91"/>
      <c r="N24" s="167"/>
      <c r="O24" s="43"/>
      <c r="P24" s="43"/>
      <c r="Q24" s="18"/>
      <c r="R24" s="44"/>
      <c r="U24" s="7" t="s">
        <v>91</v>
      </c>
      <c r="V24" s="7">
        <f>IF($L$16&lt;3,"",VLOOKUP(10000000,$AJ$24:$AK$31,2))</f>
      </c>
      <c r="W24" s="65">
        <f>IF(V24="","",VLOOKUP(V24,$AG$24:$AJ$31,4))</f>
      </c>
      <c r="X24" s="7">
        <v>3</v>
      </c>
      <c r="Y24" s="7">
        <v>1</v>
      </c>
      <c r="Z24" s="12">
        <f>IF($L$16&lt;3,"",(IF(ROUND(AF15,0)=0,"",$L$17)))</f>
      </c>
      <c r="AA24" s="65">
        <f>IF(Z24&lt;0.5,0,IF(Z24="",0,IF(AB15=0,$J$8,AB15)))</f>
        <v>0</v>
      </c>
      <c r="AB24" s="65">
        <f aca="true" t="shared" si="20" ref="AB24:AB31">IF(Z24="",0,IF(Z24&lt;0.5,0,IF(Z24&lt;=AF15,AA24+Z24*V8,L8)))</f>
        <v>0</v>
      </c>
      <c r="AC24" s="12">
        <f aca="true" t="shared" si="21" ref="AC24:AC31">ABS(AB24-AA24)</f>
        <v>0</v>
      </c>
      <c r="AD24">
        <f>IF(N8=0,"",IF(Z24="","",IF(ROUND(AC24-N8,0)=0,"LOT 3",IF(Z24&lt;0.5,"",IF(AB24-AA24&lt;N8,"PARTIAL","NOT")))))</f>
      </c>
      <c r="AF24" s="12">
        <f>IF(Z24="",0,$N$8-AC24-AC15-AC6)</f>
        <v>0</v>
      </c>
      <c r="AG24" s="7" t="s">
        <v>46</v>
      </c>
      <c r="AH24" s="12">
        <f>IF(AC24=0,"",J26)</f>
      </c>
      <c r="AI24" s="12">
        <f>IF(AC24=0,"",IF(AC24&gt;=AH24,AH24,AC24))</f>
      </c>
      <c r="AJ24" s="65">
        <f>IF(AH24="","",IF(AI24=AC24,"",AA24+AI24*V8))</f>
      </c>
      <c r="AK24" s="7" t="s">
        <v>46</v>
      </c>
      <c r="AL24" s="12">
        <f>IF(AC24=0,"",$J$27)</f>
      </c>
      <c r="AM24" s="12">
        <f>IF(AC24=0,"",IF(AC24&gt;=AL24,AL24,AC24))</f>
      </c>
      <c r="AN24" s="65">
        <f>IF(AL24="","",IF(AM24=AC24,"",AA24+AM24*V8))</f>
      </c>
      <c r="AO24" s="7" t="s">
        <v>46</v>
      </c>
      <c r="AU24" s="1" t="s">
        <v>169</v>
      </c>
    </row>
    <row r="25" spans="1:47" ht="15">
      <c r="A25" s="18"/>
      <c r="B25" s="18"/>
      <c r="C25" s="45"/>
      <c r="D25" s="23" t="s">
        <v>230</v>
      </c>
      <c r="E25" s="95">
        <f>IF(C25="","",C25+0.2)</f>
      </c>
      <c r="F25" s="157"/>
      <c r="G25" s="46"/>
      <c r="H25" s="167"/>
      <c r="I25" s="42"/>
      <c r="J25" s="42"/>
      <c r="K25" s="23"/>
      <c r="L25" s="38"/>
      <c r="M25" s="91"/>
      <c r="N25" s="167"/>
      <c r="O25" s="43"/>
      <c r="P25" s="43"/>
      <c r="Q25" s="18"/>
      <c r="R25" s="44"/>
      <c r="U25" s="7" t="s">
        <v>92</v>
      </c>
      <c r="V25" s="7">
        <f>IF($L$16&lt;3,"",VLOOKUP(10000000,$AN$24:$AO$31,2))</f>
      </c>
      <c r="W25" s="65">
        <f>IF(V25="","",VLOOKUP(V25,$AK$24:$AN$31,4))</f>
      </c>
      <c r="X25" s="7"/>
      <c r="Y25" s="7">
        <v>2</v>
      </c>
      <c r="Z25" s="12">
        <f aca="true" t="shared" si="22" ref="Z25:Z31">IF(ROUND(AF16,0)=0,"",IF(Z24="",$L$17,ABS(Z24-AC24)))</f>
      </c>
      <c r="AA25" s="65">
        <f>IF(Z25&lt;0.5,0,IF(Z25="",0,IF(AB16=0,$J$9,AB16)))</f>
        <v>0</v>
      </c>
      <c r="AB25" s="65">
        <f t="shared" si="20"/>
        <v>0</v>
      </c>
      <c r="AC25" s="12">
        <f t="shared" si="21"/>
        <v>0</v>
      </c>
      <c r="AD25">
        <f>IF(N9=0,"",IF(Z25="","",IF(ROUND(AC25-N9,0)=0,"LOT 3",IF(Z25&lt;0.5,"",IF(AB25-AA25&lt;N9,"PARTIAL","NOT")))))</f>
      </c>
      <c r="AF25" s="12">
        <f>IF(Z25="",0,$N$9-AC25-AC16-AC7)</f>
        <v>0</v>
      </c>
      <c r="AG25" s="7" t="s">
        <v>49</v>
      </c>
      <c r="AH25" s="12">
        <f>IF(AC25=0,"",IF(AI24="",$J$26,IF(AJ24="",AH24-AI24,"")))</f>
      </c>
      <c r="AI25" s="12">
        <f aca="true" t="shared" si="23" ref="AI25:AI31">IF(AH25="","",IF(AC25&gt;=AH25,AH25,AC25))</f>
      </c>
      <c r="AJ25" s="65">
        <f aca="true" t="shared" si="24" ref="AJ25:AJ31">IF(AH25="","",IF(ROUND(AI25-AH25,0)=0,AA25+AI25*V9,IF(AI25=AC25,"",AA25+AI25*V9)))</f>
      </c>
      <c r="AK25" s="7" t="s">
        <v>49</v>
      </c>
      <c r="AL25" s="12">
        <f>IF(AC25=0,"",IF(AM24="",$J$27,IF(AN24="",AL24-AM24,"")))</f>
      </c>
      <c r="AM25" s="12">
        <f aca="true" t="shared" si="25" ref="AM25:AM31">IF(AL25="","",IF(AC25&gt;=AL25,AL25,AC25))</f>
      </c>
      <c r="AN25" s="65">
        <f aca="true" t="shared" si="26" ref="AN25:AN31">IF(AL25="","",IF(ROUND(AM25-AL25,0)=0,AA25+AM25*V9,IF(AM25=AC25,"",AA25+AM25*V9)))</f>
      </c>
      <c r="AO25" s="7" t="s">
        <v>49</v>
      </c>
      <c r="AU25" s="1" t="s">
        <v>170</v>
      </c>
    </row>
    <row r="26" spans="1:47" ht="15">
      <c r="A26" s="18"/>
      <c r="B26" s="111">
        <f>IF($K$16&gt;B24,B24+1," ")</f>
        <v>2</v>
      </c>
      <c r="C26" s="40" t="s">
        <v>34</v>
      </c>
      <c r="D26" s="48" t="s">
        <v>230</v>
      </c>
      <c r="E26" s="23">
        <f>IF(C27="","",C27+0.1)</f>
      </c>
      <c r="F26" s="158"/>
      <c r="G26" s="49"/>
      <c r="H26" s="167"/>
      <c r="I26" s="42"/>
      <c r="J26" s="42"/>
      <c r="K26" s="23"/>
      <c r="L26" s="38"/>
      <c r="M26" s="91"/>
      <c r="N26" s="167"/>
      <c r="O26" s="43"/>
      <c r="P26" s="43"/>
      <c r="Q26" s="18"/>
      <c r="R26" s="44"/>
      <c r="U26" s="7" t="s">
        <v>93</v>
      </c>
      <c r="V26" s="7">
        <f>IF($L$16&lt;4,"",VLOOKUP(10000000,$AJ$33:$AK$40,2))</f>
      </c>
      <c r="W26" s="65">
        <f>IF(V26="","",VLOOKUP(V26,$AG$33:$AJ$40,4))</f>
      </c>
      <c r="X26" s="7"/>
      <c r="Y26" s="7">
        <v>3</v>
      </c>
      <c r="Z26" s="12">
        <f t="shared" si="22"/>
      </c>
      <c r="AA26" s="65">
        <f>IF(Z26&lt;0.5,0,IF(Z26="",0,IF(AB17=0,$J$10,AB17)))</f>
        <v>0</v>
      </c>
      <c r="AB26" s="65">
        <f t="shared" si="20"/>
        <v>0</v>
      </c>
      <c r="AC26" s="12">
        <f t="shared" si="21"/>
        <v>0</v>
      </c>
      <c r="AD26">
        <f>IF(N10=0,"",IF(Z26="","",IF(ROUND(AC26-N10,0)=0,"LOT 3",IF(Z26&lt;0.5,"",IF(AC26&lt;N10,"PARTIAL","NOT")))))</f>
      </c>
      <c r="AF26" s="12">
        <f>IF(Z26="",0,$N$10-AC26-AC17-AC8)</f>
        <v>0</v>
      </c>
      <c r="AG26" s="7" t="s">
        <v>54</v>
      </c>
      <c r="AH26" s="12">
        <f>IF(AC26=0,"",IF(AND(AI24="",AI25=""),$J$26,IF(AND(AJ24="",AJ25=""),AH25-AI25,"")))</f>
      </c>
      <c r="AI26" s="12">
        <f t="shared" si="23"/>
      </c>
      <c r="AJ26" s="65">
        <f t="shared" si="24"/>
      </c>
      <c r="AK26" s="7" t="s">
        <v>54</v>
      </c>
      <c r="AL26" s="12">
        <f>IF(AC26=0,"",IF(AND(AM24="",AM25=""),$J$27,IF(AND(AN24="",AN25=""),AL25-AM25,"")))</f>
      </c>
      <c r="AM26" s="12">
        <f t="shared" si="25"/>
      </c>
      <c r="AN26" s="65">
        <f t="shared" si="26"/>
      </c>
      <c r="AO26" s="7" t="s">
        <v>54</v>
      </c>
      <c r="AU26" s="1" t="s">
        <v>171</v>
      </c>
    </row>
    <row r="27" spans="1:47" ht="15">
      <c r="A27" s="18"/>
      <c r="B27" s="111">
        <f>B26</f>
        <v>2</v>
      </c>
      <c r="C27" s="45"/>
      <c r="D27" s="23" t="s">
        <v>37</v>
      </c>
      <c r="E27" s="95">
        <f>IF(C27="","",C27+0.2)</f>
      </c>
      <c r="F27" s="157"/>
      <c r="G27" s="46"/>
      <c r="H27" s="167"/>
      <c r="I27" s="47"/>
      <c r="J27" s="42"/>
      <c r="K27" s="23"/>
      <c r="L27" s="38"/>
      <c r="M27" s="91"/>
      <c r="N27" s="167"/>
      <c r="O27" s="43"/>
      <c r="P27" s="43"/>
      <c r="Q27" s="18"/>
      <c r="R27" s="44"/>
      <c r="U27" s="7" t="s">
        <v>94</v>
      </c>
      <c r="V27" s="7">
        <f>IF($L$16&lt;4,"",VLOOKUP(10000000,$AN$33:$AO$40,2))</f>
      </c>
      <c r="W27" s="65">
        <f>IF(V27="","",VLOOKUP(V27,$AK$33:$AN$40,4))</f>
      </c>
      <c r="X27" s="7"/>
      <c r="Y27" s="7">
        <v>4</v>
      </c>
      <c r="Z27" s="12">
        <f t="shared" si="22"/>
      </c>
      <c r="AA27" s="65">
        <f>IF(Z27&lt;0.5,0,IF(Z27="",0,IF(AB18=0,$J$11,AB18)))</f>
        <v>0</v>
      </c>
      <c r="AB27" s="65">
        <f t="shared" si="20"/>
        <v>0</v>
      </c>
      <c r="AC27" s="12">
        <f t="shared" si="21"/>
        <v>0</v>
      </c>
      <c r="AD27">
        <f>IF(N11=0,"",IF(Z27="","",IF(ROUND(AC27-N11,0)=0,"LOT 3",IF(Z27&lt;0.5,"",IF(AB27-AA27&lt;N11,"PARTIAL","NOT")))))</f>
      </c>
      <c r="AF27" s="12">
        <f>IF(Z27="",0,$N$11-AC27-AC18-AC9)</f>
        <v>0</v>
      </c>
      <c r="AG27" s="7" t="s">
        <v>56</v>
      </c>
      <c r="AH27" s="12">
        <f>IF(AC27=0,"",IF(AND(AI24="",AI25="",AI26=""),$J$26,IF(AND(AJ24="",AJ25="",AJ26=""),AH26-AI26,"")))</f>
      </c>
      <c r="AI27" s="12">
        <f t="shared" si="23"/>
      </c>
      <c r="AJ27" s="65">
        <f t="shared" si="24"/>
      </c>
      <c r="AK27" s="7" t="s">
        <v>56</v>
      </c>
      <c r="AL27" s="12">
        <f>IF(AC27=0,"",IF(AND(AM24="",AM25="",AM26=""),$J$27,IF(AND(AN24="",AN25="",AN26=""),AL26-AM26,"")))</f>
      </c>
      <c r="AM27" s="12">
        <f t="shared" si="25"/>
      </c>
      <c r="AN27" s="65">
        <f t="shared" si="26"/>
      </c>
      <c r="AO27" s="7" t="s">
        <v>56</v>
      </c>
      <c r="AU27" s="1" t="s">
        <v>172</v>
      </c>
    </row>
    <row r="28" spans="1:47" ht="15">
      <c r="A28" s="18"/>
      <c r="B28" s="18"/>
      <c r="C28" s="40" t="s">
        <v>34</v>
      </c>
      <c r="D28" s="48" t="s">
        <v>230</v>
      </c>
      <c r="E28" s="23">
        <f>IF(C29="","",C29+0.1)</f>
      </c>
      <c r="F28" s="158"/>
      <c r="G28" s="49"/>
      <c r="H28" s="167"/>
      <c r="I28" s="47"/>
      <c r="J28" s="42"/>
      <c r="K28" s="23"/>
      <c r="L28" s="38"/>
      <c r="M28" s="91"/>
      <c r="N28" s="167"/>
      <c r="O28" s="43"/>
      <c r="P28" s="43"/>
      <c r="Q28" s="18"/>
      <c r="R28" s="44"/>
      <c r="U28" s="7" t="s">
        <v>7</v>
      </c>
      <c r="V28" s="7">
        <f>IF($L$16&lt;5,"",VLOOKUP(10000000,$AJ$42:$AK$49,2))</f>
      </c>
      <c r="W28" s="65">
        <f>IF(V28="","",VLOOKUP(V28,$AG$42:$AJ$49,4))</f>
      </c>
      <c r="X28" s="7"/>
      <c r="Y28" s="7">
        <v>5</v>
      </c>
      <c r="Z28" s="12">
        <f t="shared" si="22"/>
      </c>
      <c r="AA28" s="65">
        <f>IF(Z28&lt;0.5,0,IF(Z28="",0,IF(AB19=0,$J$12,AB19)))</f>
        <v>0</v>
      </c>
      <c r="AB28" s="65">
        <f t="shared" si="20"/>
        <v>0</v>
      </c>
      <c r="AC28" s="12">
        <f t="shared" si="21"/>
        <v>0</v>
      </c>
      <c r="AD28">
        <f>IF(N12=0,"",IF(Z28="","",IF(ROUND(AC28-N12,0)=0,"LOT 3",IF(Z28&lt;0.5,"",IF(AB28-AA28&lt;N12,"PARTIAL","NOT")))))</f>
      </c>
      <c r="AF28" s="12">
        <f>IF(Z28="",0,$N$12-AC28-AC19-AC10)</f>
        <v>0</v>
      </c>
      <c r="AG28" s="7" t="s">
        <v>58</v>
      </c>
      <c r="AH28" s="12">
        <f>IF(AC28=0,"",IF(AND(AI24="",AI25="",AI26="",AI27=""),$J$26,IF(AND(AJ24="",AJ25="",AJ26="",AJ27=""),AH27-AI27,"")))</f>
      </c>
      <c r="AI28" s="12">
        <f t="shared" si="23"/>
      </c>
      <c r="AJ28" s="65">
        <f t="shared" si="24"/>
      </c>
      <c r="AK28" s="7" t="s">
        <v>58</v>
      </c>
      <c r="AL28" s="12">
        <f>IF(AC28=0,"",IF(AND(AM24="",AM25="",AM26="",AM27=""),$J$27,IF(AND(AN24="",AN25="",AN26="",AN27=""),AL27-AM27,"")))</f>
      </c>
      <c r="AM28" s="12">
        <f t="shared" si="25"/>
      </c>
      <c r="AN28" s="65">
        <f t="shared" si="26"/>
      </c>
      <c r="AO28" s="7" t="s">
        <v>58</v>
      </c>
      <c r="AU28" s="1" t="s">
        <v>173</v>
      </c>
    </row>
    <row r="29" spans="1:47" ht="15">
      <c r="A29" s="18"/>
      <c r="B29" s="111">
        <f>IF($K$16&gt;B27,B27+1," ")</f>
        <v>3</v>
      </c>
      <c r="C29" s="45"/>
      <c r="D29" s="23" t="s">
        <v>230</v>
      </c>
      <c r="E29" s="95">
        <f>IF(C29="","",C29+0.2)</f>
      </c>
      <c r="F29" s="157"/>
      <c r="G29" s="46"/>
      <c r="H29" s="167"/>
      <c r="I29" s="47"/>
      <c r="J29" s="42"/>
      <c r="K29" s="23"/>
      <c r="L29" s="38"/>
      <c r="M29" s="91"/>
      <c r="N29" s="167"/>
      <c r="O29" s="43"/>
      <c r="P29" s="43"/>
      <c r="Q29" s="18"/>
      <c r="R29" s="44"/>
      <c r="U29" s="7" t="s">
        <v>95</v>
      </c>
      <c r="V29" s="7">
        <f>IF($L$16&lt;5,"",VLOOKUP(10000000,$AN$42:$AO$49,2))</f>
      </c>
      <c r="W29" s="65">
        <f>IF(V29="","",VLOOKUP(V29,$AK$42:$AN$49,4))</f>
      </c>
      <c r="X29" s="7"/>
      <c r="Y29" s="7">
        <v>6</v>
      </c>
      <c r="Z29" s="12">
        <f t="shared" si="22"/>
      </c>
      <c r="AA29" s="65">
        <f>IF(Z29&lt;0.5,0,IF(Z29="",0,IF(AB20=0,$J$13,AB20)))</f>
        <v>0</v>
      </c>
      <c r="AB29" s="65">
        <f t="shared" si="20"/>
        <v>0</v>
      </c>
      <c r="AC29" s="12">
        <f t="shared" si="21"/>
        <v>0</v>
      </c>
      <c r="AD29">
        <f>IF(N13=0,"",IF(Z29="","",IF(ROUND(AC29-N13,0)=0,"LOT 3",IF(Z29&lt;0.5,"",IF(AB29-AA29&lt;N13,"PARTIAL","NOT")))))</f>
      </c>
      <c r="AF29" s="12">
        <f>IF(Z29="",0,$N$13-AC29-AC20-AC11)</f>
        <v>0</v>
      </c>
      <c r="AG29" s="7" t="s">
        <v>61</v>
      </c>
      <c r="AH29" s="12">
        <f>IF(AC29=0,"",IF(AND(AI24="",AI25="",AI26="",AI27="",AI28=""),$J$26,IF(AND(AJ24="",AJ25="",AJ26="",AJ27="",AJ28=""),AH28-AI28,"")))</f>
      </c>
      <c r="AI29" s="12">
        <f t="shared" si="23"/>
      </c>
      <c r="AJ29" s="65">
        <f t="shared" si="24"/>
      </c>
      <c r="AK29" s="7" t="s">
        <v>61</v>
      </c>
      <c r="AL29" s="12">
        <f>IF(AC29=0,"",IF(AND(AM24="",AM25="",AM26="",AM27="",AM28=""),$J$27,IF(AND(AN24="",AN25="",AN26="",AN27="",AN28=""),AL28-AM28,"")))</f>
      </c>
      <c r="AM29" s="12">
        <f t="shared" si="25"/>
      </c>
      <c r="AN29" s="65">
        <f t="shared" si="26"/>
      </c>
      <c r="AO29" s="7" t="s">
        <v>61</v>
      </c>
      <c r="AU29" s="1" t="s">
        <v>174</v>
      </c>
    </row>
    <row r="30" spans="1:47" ht="15">
      <c r="A30" s="18"/>
      <c r="B30" s="111">
        <f>B29</f>
        <v>3</v>
      </c>
      <c r="C30" s="40" t="s">
        <v>34</v>
      </c>
      <c r="D30" s="48" t="s">
        <v>230</v>
      </c>
      <c r="E30" s="23">
        <f>IF(C31="","",C31+0.1)</f>
      </c>
      <c r="F30" s="158"/>
      <c r="G30" s="41"/>
      <c r="H30" s="167"/>
      <c r="I30" s="47"/>
      <c r="J30" s="42"/>
      <c r="K30" s="23"/>
      <c r="L30" s="38"/>
      <c r="M30" s="91"/>
      <c r="N30" s="167"/>
      <c r="O30" s="43"/>
      <c r="P30" s="43"/>
      <c r="Q30" s="18"/>
      <c r="R30" s="44"/>
      <c r="U30" s="7" t="s">
        <v>96</v>
      </c>
      <c r="V30" s="7">
        <f>IF($L$16&lt;6,"",VLOOKUP(10000000,$AJ$51:$AK$58,2))</f>
      </c>
      <c r="W30" s="65">
        <f>IF(V30="","",VLOOKUP(V30,$AG$51:$AJ$58,4))</f>
      </c>
      <c r="X30" s="7"/>
      <c r="Y30" s="7">
        <v>7</v>
      </c>
      <c r="Z30" s="12">
        <f t="shared" si="22"/>
      </c>
      <c r="AA30" s="65">
        <f>IF(Z30&lt;0.5,0,IF(Z30="",0,IF(AB21=0,$J$14,AB21)))</f>
        <v>0</v>
      </c>
      <c r="AB30" s="65">
        <f t="shared" si="20"/>
        <v>0</v>
      </c>
      <c r="AC30" s="12">
        <f t="shared" si="21"/>
        <v>0</v>
      </c>
      <c r="AD30">
        <f>IF(N14=0,"",IF(Z30="","",IF(ROUND(AC30-N14,0)=0,"LOT 3",IF(Z30&lt;0.5,"",IF(AB30-AA30&lt;N14,"PARTIAL","NOT")))))</f>
      </c>
      <c r="AF30" s="12">
        <f>IF(Z30="",0,$N$14-AC30-AC21-AC12)</f>
        <v>0</v>
      </c>
      <c r="AG30" s="7" t="s">
        <v>237</v>
      </c>
      <c r="AH30" s="12">
        <f>IF(AC30=0,"",IF(AND(AI24="",AI25="",AI26="",AI27="",AI28="",AI29=""),$J$26,IF(AND(AJ24="",AJ25="",AJ26="",AJ27="",AJ28="",AJ29=""),AH29-AI29,"")))</f>
      </c>
      <c r="AI30" s="12">
        <f t="shared" si="23"/>
      </c>
      <c r="AJ30" s="65">
        <f t="shared" si="24"/>
      </c>
      <c r="AK30" s="7" t="s">
        <v>237</v>
      </c>
      <c r="AL30" s="12">
        <f>IF(AC30=0,"",IF(AND(AM24="",AM25="",AM26="",AM27="",AM28="",AM29=""),$J$27,IF(AND(AN24="",AN25="",AN26="",AN27="",AN28="",AN29=""),AL29-AM29,"")))</f>
      </c>
      <c r="AM30" s="12">
        <f t="shared" si="25"/>
      </c>
      <c r="AN30" s="65">
        <f t="shared" si="26"/>
      </c>
      <c r="AO30" s="7" t="s">
        <v>237</v>
      </c>
      <c r="AU30" s="1" t="s">
        <v>175</v>
      </c>
    </row>
    <row r="31" spans="1:47" ht="15">
      <c r="A31" s="18"/>
      <c r="B31" s="18"/>
      <c r="C31" s="45"/>
      <c r="D31" s="23" t="s">
        <v>230</v>
      </c>
      <c r="E31" s="95">
        <f>IF(C31="","",C31+0.2)</f>
      </c>
      <c r="F31" s="157"/>
      <c r="G31" s="46"/>
      <c r="H31" s="167"/>
      <c r="I31" s="47"/>
      <c r="J31" s="42"/>
      <c r="K31" s="23"/>
      <c r="L31" s="38"/>
      <c r="M31" s="91"/>
      <c r="N31" s="167"/>
      <c r="O31" s="43"/>
      <c r="P31" s="43"/>
      <c r="Q31" s="18"/>
      <c r="R31" s="44"/>
      <c r="U31" s="7" t="s">
        <v>97</v>
      </c>
      <c r="V31" s="7">
        <f>IF($L$16&lt;6,"",VLOOKUP(10000000,$AN$51:$AO$58,2))</f>
      </c>
      <c r="W31" s="65">
        <f>IF(V31="","",VLOOKUP(V31,$AK$51:$AN$58,4))</f>
      </c>
      <c r="X31" s="7"/>
      <c r="Y31" s="7">
        <v>8</v>
      </c>
      <c r="Z31" s="12">
        <f t="shared" si="22"/>
      </c>
      <c r="AA31" s="65">
        <f>IF(Z31&lt;0.5,0,IF(Z31="",0,IF(AB22=0,$J$15,AB22)))</f>
        <v>0</v>
      </c>
      <c r="AB31" s="65">
        <f t="shared" si="20"/>
        <v>0</v>
      </c>
      <c r="AC31" s="12">
        <f t="shared" si="21"/>
        <v>0</v>
      </c>
      <c r="AD31">
        <f>IF(N15=0,"",IF(Z31="","",IF(ROUND(AC31-N15,0)=0,"LOT 3",IF(Z31&lt;0.5,"",IF(AB31-AA31&lt;N15,"PARTIAL","NOT")))))</f>
      </c>
      <c r="AF31" s="12">
        <f>IF(Z31="",0,$N$15-AC31-AC22-AC13)</f>
        <v>0</v>
      </c>
      <c r="AG31" s="7" t="s">
        <v>238</v>
      </c>
      <c r="AH31" s="12">
        <f>IF(AC31=0,"",IF(AND(AI24="",AI25="",AI26="",AI27="",AI28="",AI29="",AI30=""),$J$26,IF(AND(AJ24="",AJ25="",AJ26="",AJ27="",AJ28="",AJ29="",AJ30=""),AH30-AI30,"")))</f>
      </c>
      <c r="AI31" s="12">
        <f t="shared" si="23"/>
      </c>
      <c r="AJ31" s="65">
        <f t="shared" si="24"/>
      </c>
      <c r="AK31" s="7" t="s">
        <v>238</v>
      </c>
      <c r="AL31" s="12">
        <f>IF(AC31=0,"",IF(AND(AM24="",AM25="",AM26="",AM27="",AM28="",AM29="",AM30=""),$J$27,IF(AND(AN24="",AN25="",AN26="",AN27="",AN28="",AN29="",AN30=""),AL30-AM30,"")))</f>
      </c>
      <c r="AM31" s="12">
        <f t="shared" si="25"/>
      </c>
      <c r="AN31" s="65">
        <f t="shared" si="26"/>
      </c>
      <c r="AO31" s="7" t="s">
        <v>238</v>
      </c>
      <c r="AU31" s="1" t="s">
        <v>176</v>
      </c>
    </row>
    <row r="32" spans="1:47" ht="15">
      <c r="A32" s="18"/>
      <c r="B32" s="111">
        <f>IF($K$16&gt;B30,B30+1," ")</f>
        <v>4</v>
      </c>
      <c r="C32" s="40" t="s">
        <v>34</v>
      </c>
      <c r="D32" s="48" t="s">
        <v>230</v>
      </c>
      <c r="E32" s="23">
        <f>IF(C33="","",C33+0.1)</f>
      </c>
      <c r="F32" s="158"/>
      <c r="G32" s="49"/>
      <c r="H32" s="167"/>
      <c r="I32" s="47"/>
      <c r="J32" s="42"/>
      <c r="K32" s="23"/>
      <c r="L32" s="38"/>
      <c r="M32" s="91"/>
      <c r="N32" s="167"/>
      <c r="O32" s="43"/>
      <c r="P32" s="43"/>
      <c r="Q32" s="18"/>
      <c r="R32" s="44"/>
      <c r="U32" s="7"/>
      <c r="V32" s="7">
        <f>IF(L16&lt;7,"",VLOOKUP(10000000,$AJ$60:$AK$65,2))</f>
      </c>
      <c r="W32" s="65">
        <f>IF(V32="","",VLOOKUP(V32,$AG$60:$AJ$65,4))</f>
      </c>
      <c r="X32" s="7"/>
      <c r="Y32" s="7"/>
      <c r="Z32" s="12"/>
      <c r="AU32" s="1" t="s">
        <v>177</v>
      </c>
    </row>
    <row r="33" spans="1:47" ht="15">
      <c r="A33" s="18"/>
      <c r="B33" s="111">
        <f>B32</f>
        <v>4</v>
      </c>
      <c r="C33" s="45"/>
      <c r="D33" s="23" t="s">
        <v>37</v>
      </c>
      <c r="E33" s="23">
        <f>IF(C33="","",C33+0.2)</f>
      </c>
      <c r="F33" s="157"/>
      <c r="G33" s="50"/>
      <c r="H33" s="167"/>
      <c r="I33" s="47"/>
      <c r="J33" s="47"/>
      <c r="K33" s="23"/>
      <c r="L33" s="38"/>
      <c r="M33" s="91"/>
      <c r="N33" s="167"/>
      <c r="O33" s="51"/>
      <c r="P33" s="51"/>
      <c r="Q33" s="18"/>
      <c r="R33" s="44"/>
      <c r="U33" s="7"/>
      <c r="V33" s="7">
        <f>IF(L16&lt;7,"",VLOOKUP(10000000,$AN$60:$AO$65,2))</f>
      </c>
      <c r="W33" s="65">
        <f>IF(V33="","",VLOOKUP(V33,$AK$60:$AN$65,4))</f>
      </c>
      <c r="X33" s="7">
        <v>4</v>
      </c>
      <c r="Y33" s="7">
        <v>1</v>
      </c>
      <c r="Z33" s="12">
        <f>IF($L$16&lt;4,"",(IF(ROUND(AF24,0)=0,"",$L$17)))</f>
      </c>
      <c r="AA33" s="65">
        <f>IF(Z33&lt;0.5,0,IF(Z33="",0,IF(AB24=0,$J$8,AB24)))</f>
        <v>0</v>
      </c>
      <c r="AB33" s="65">
        <f>IF(Z33="",0,IF(Z33&lt;0.5,0,IF(Z33&lt;=AF24,AA33+Z33*V8,$L$8)))</f>
        <v>0</v>
      </c>
      <c r="AC33" s="12">
        <f aca="true" t="shared" si="27" ref="AC33:AC40">ABS(AB33-AA33)</f>
        <v>0</v>
      </c>
      <c r="AD33">
        <f>IF($N$8=0,"",IF(Z33="","",IF(ROUND(AC33-$N$8,0)=0,"LOT 4",IF(Z33&lt;0.5,"",IF(AB33-AA33&lt;$N$8,"PARTIAL","NOT")))))</f>
      </c>
      <c r="AF33" s="12">
        <f>IF(Z33="",0,$N$8-AC33-AC24-AC15-AC6)</f>
        <v>0</v>
      </c>
      <c r="AG33" s="7" t="s">
        <v>46</v>
      </c>
      <c r="AH33" s="12">
        <f>IF(AC33=0,"",J28)</f>
      </c>
      <c r="AI33" s="12">
        <f>IF(AC33=0,"",IF(AC33&gt;=AH33,AH33,AC33))</f>
      </c>
      <c r="AJ33" s="65">
        <f>IF(AH33="","",IF(AI33=AC33,"",AA33+AI33*V8))</f>
      </c>
      <c r="AK33" s="7" t="s">
        <v>46</v>
      </c>
      <c r="AL33" s="12">
        <f>IF(AC33=0,"",$J$29)</f>
      </c>
      <c r="AM33" s="12">
        <f>IF(AC33=0,"",IF(AC33&gt;=AL33,AL33,AC33))</f>
      </c>
      <c r="AN33" s="65">
        <f>IF(AL33="","",IF(AM33=AC33,"",AA33+AM33*V8))</f>
      </c>
      <c r="AO33" s="7" t="s">
        <v>46</v>
      </c>
      <c r="AU33" s="1" t="s">
        <v>178</v>
      </c>
    </row>
    <row r="34" spans="1:47" ht="15">
      <c r="A34" s="18"/>
      <c r="B34" s="18"/>
      <c r="C34" s="52"/>
      <c r="D34" s="53"/>
      <c r="E34" s="53"/>
      <c r="F34" s="54"/>
      <c r="G34" s="18" t="s">
        <v>98</v>
      </c>
      <c r="H34" s="55"/>
      <c r="I34" s="56"/>
      <c r="J34" s="57"/>
      <c r="K34" s="58"/>
      <c r="L34" s="59"/>
      <c r="M34" s="55"/>
      <c r="N34" s="60"/>
      <c r="O34" s="60"/>
      <c r="P34" s="60"/>
      <c r="Q34" s="18"/>
      <c r="R34" s="44"/>
      <c r="V34" s="7"/>
      <c r="X34" s="7"/>
      <c r="Y34" s="7">
        <v>2</v>
      </c>
      <c r="Z34" s="12">
        <f aca="true" t="shared" si="28" ref="Z34:Z40">IF(ROUND(AF25,0)=0,"",IF(Z33="",$L$17,ABS(Z33-AC33)))</f>
      </c>
      <c r="AA34" s="65">
        <f>IF(Z34&lt;0.5,0,IF(Z34="",0,IF(AB25=0,$J$9,AB25)))</f>
        <v>0</v>
      </c>
      <c r="AB34" s="65">
        <f>IF(Z34="",0,IF(Z34&lt;0.5,0,IF(Z34&lt;=AF25,AA34+Z34*V9,$L$9)))</f>
        <v>0</v>
      </c>
      <c r="AC34" s="12">
        <f t="shared" si="27"/>
        <v>0</v>
      </c>
      <c r="AD34">
        <f>IF($N$9=0,"",IF(Z34="","",IF(ROUND(AC34-$N$9,0)=0,"LOT 4",IF(Z34&lt;0.5,"",IF(AB34-AA34&lt;$N$9,"PARTIAL","NOT")))))</f>
      </c>
      <c r="AF34" s="12">
        <f>IF(Z34="",0,$N$9-AC34-AC25-AC16-AC7)</f>
        <v>0</v>
      </c>
      <c r="AG34" s="7" t="s">
        <v>49</v>
      </c>
      <c r="AH34" s="12">
        <f>IF(AC34=0,"",IF(AI33="",$J$28,IF(AJ33="",AH33-AI33,"")))</f>
      </c>
      <c r="AI34" s="12">
        <f aca="true" t="shared" si="29" ref="AI34:AI40">IF(AH34="","",IF(AC34&gt;=AH34,AH34,AC34))</f>
      </c>
      <c r="AJ34" s="65">
        <f aca="true" t="shared" si="30" ref="AJ34:AJ40">IF(AH34="","",IF(ROUND(AI34-AH34,0)=0,AA34+AI34*V9,IF(AI34=AC34,"",AA34+AI34*V9)))</f>
      </c>
      <c r="AK34" s="7" t="s">
        <v>49</v>
      </c>
      <c r="AL34" s="12">
        <f>IF(AC34=0,"",IF(AM33="",$J$29,IF(AN33="",AL33-AM33,"")))</f>
      </c>
      <c r="AM34" s="12">
        <f aca="true" t="shared" si="31" ref="AM34:AM40">IF(AL34="","",IF(AC34&gt;=AL34,AL34,AC34))</f>
      </c>
      <c r="AN34" s="65">
        <f aca="true" t="shared" si="32" ref="AN34:AN40">IF(AL34="","",IF(ROUND(AM34-AL34,0)=0,AA34+AM34*V9,IF(AM34=AC34,"",AA34+AM34*V9)))</f>
      </c>
      <c r="AO34" s="7" t="s">
        <v>49</v>
      </c>
      <c r="AU34" s="1" t="s">
        <v>179</v>
      </c>
    </row>
    <row r="35" spans="1:47" ht="18">
      <c r="A35" s="18"/>
      <c r="B35" s="111">
        <f>IF($K$16&gt;B33,B33+1," ")</f>
        <v>5</v>
      </c>
      <c r="C35" s="52"/>
      <c r="D35" s="61" t="s">
        <v>129</v>
      </c>
      <c r="E35" s="93"/>
      <c r="F35" s="93"/>
      <c r="G35" s="94"/>
      <c r="H35" s="55"/>
      <c r="I35" s="56"/>
      <c r="J35" s="57"/>
      <c r="K35" s="58"/>
      <c r="L35" s="59"/>
      <c r="M35" s="55"/>
      <c r="N35" s="60"/>
      <c r="O35" s="60"/>
      <c r="P35" s="60"/>
      <c r="Q35" s="18"/>
      <c r="R35" s="44"/>
      <c r="X35" s="7"/>
      <c r="Y35" s="7">
        <v>3</v>
      </c>
      <c r="Z35" s="12">
        <f t="shared" si="28"/>
      </c>
      <c r="AA35" s="65">
        <f>IF(Z35&lt;0.5,0,IF(Z35="",0,IF(AB26=0,$J$10,AB26)))</f>
        <v>0</v>
      </c>
      <c r="AB35" s="65">
        <f>IF(Z35="",0,IF(Z35&lt;0.5,0,IF(Z35&lt;=AF26,AA35+Z35*V10,$L$10)))</f>
        <v>0</v>
      </c>
      <c r="AC35" s="12">
        <f t="shared" si="27"/>
        <v>0</v>
      </c>
      <c r="AD35">
        <f>IF($N$10=0,"",IF(Z35="","",IF(ROUND(AC35-$N$10,0)=0,"LOT 4",IF(Z35&lt;0.5,"",IF(AC35&lt;$N$10,"PARTIAL","NOT")))))</f>
      </c>
      <c r="AF35" s="12">
        <f>IF(Z35="",0,$N$10-AC35-AC26-AC17-AC8)</f>
        <v>0</v>
      </c>
      <c r="AG35" s="7" t="s">
        <v>54</v>
      </c>
      <c r="AH35" s="12">
        <f>IF(AC35=0,"",IF(AND(AI33="",AI34=""),$J$28,IF(AND(AJ33="",AJ34=""),AH34-AI34,"")))</f>
      </c>
      <c r="AI35" s="12">
        <f t="shared" si="29"/>
      </c>
      <c r="AJ35" s="65">
        <f t="shared" si="30"/>
      </c>
      <c r="AK35" s="7" t="s">
        <v>54</v>
      </c>
      <c r="AL35" s="12">
        <f>IF(AC35=0,"",IF(AND(AM33="",AM34=""),$J$29,IF(AND(AN33="",AN34=""),AL34-AM34,"")))</f>
      </c>
      <c r="AM35" s="12">
        <f t="shared" si="31"/>
      </c>
      <c r="AN35" s="65">
        <f t="shared" si="32"/>
      </c>
      <c r="AO35" s="7" t="s">
        <v>54</v>
      </c>
      <c r="AU35" s="1" t="s">
        <v>180</v>
      </c>
    </row>
    <row r="36" spans="1:47" ht="12.75">
      <c r="A36" s="18"/>
      <c r="B36" s="111">
        <f>B35</f>
        <v>5</v>
      </c>
      <c r="C36" s="18"/>
      <c r="D36" s="463" t="s">
        <v>115</v>
      </c>
      <c r="E36" s="464"/>
      <c r="F36" s="11" t="s">
        <v>34</v>
      </c>
      <c r="G36" s="95"/>
      <c r="H36" s="18"/>
      <c r="I36" s="18"/>
      <c r="J36" s="18"/>
      <c r="K36" s="18"/>
      <c r="L36" s="18"/>
      <c r="M36" s="18"/>
      <c r="N36" s="18"/>
      <c r="O36" s="18"/>
      <c r="P36" s="18"/>
      <c r="Q36" s="18"/>
      <c r="X36" s="7"/>
      <c r="Y36" s="7">
        <v>4</v>
      </c>
      <c r="Z36" s="12">
        <f t="shared" si="28"/>
      </c>
      <c r="AA36" s="65">
        <f>IF(Z36&lt;0.5,0,IF(Z36="",0,IF(AB27=0,$J$11,AB27)))</f>
        <v>0</v>
      </c>
      <c r="AB36" s="65">
        <f>IF(Z36="",0,IF(Z36&lt;0.5,0,IF(Z36&lt;=AF27,AA36+Z36*V11,$L$11)))</f>
        <v>0</v>
      </c>
      <c r="AC36" s="12">
        <f t="shared" si="27"/>
        <v>0</v>
      </c>
      <c r="AD36">
        <f>IF($N$11=0,"",IF(Z36="","",IF(ROUND(AC36-$N$11,0)=0,"LOT 4",IF(Z36&lt;0.5,"",IF(AB36-AA36&lt;$N$11,"PARTIAL","NOT")))))</f>
      </c>
      <c r="AF36" s="12">
        <f>IF(Z36="",0,$N$11-AC36-AC27-AC18-AC9)</f>
        <v>0</v>
      </c>
      <c r="AG36" s="7" t="s">
        <v>56</v>
      </c>
      <c r="AH36" s="12">
        <f>IF(AC36=0,"",IF(AND(AI33="",AI34="",AI35=""),$J$28,IF(AND(AJ33="",AJ34="",AJ35=""),AH35-AI35,"")))</f>
      </c>
      <c r="AI36" s="12">
        <f t="shared" si="29"/>
      </c>
      <c r="AJ36" s="65">
        <f t="shared" si="30"/>
      </c>
      <c r="AK36" s="7" t="s">
        <v>56</v>
      </c>
      <c r="AL36" s="12">
        <f>IF(AC36=0,"",IF(AND(AM33="",AM34="",AM35=""),$J$29,IF(AND(AN33="",AN34="",AN35=""),AL35-AM35,"")))</f>
      </c>
      <c r="AM36" s="12">
        <f t="shared" si="31"/>
      </c>
      <c r="AN36" s="65">
        <f t="shared" si="32"/>
      </c>
      <c r="AO36" s="7" t="s">
        <v>56</v>
      </c>
      <c r="AU36" s="1" t="s">
        <v>181</v>
      </c>
    </row>
    <row r="37" spans="1:47" ht="12.75">
      <c r="A37" s="18"/>
      <c r="B37" s="187"/>
      <c r="C37" s="18"/>
      <c r="D37" s="432" t="s">
        <v>116</v>
      </c>
      <c r="E37" s="433"/>
      <c r="F37" s="11">
        <v>1</v>
      </c>
      <c r="G37" s="95"/>
      <c r="H37" s="18"/>
      <c r="I37" s="18"/>
      <c r="J37" s="18"/>
      <c r="K37" s="18"/>
      <c r="L37" s="18"/>
      <c r="M37" s="18"/>
      <c r="N37" s="18"/>
      <c r="O37" s="18"/>
      <c r="P37" s="18"/>
      <c r="Q37" s="18"/>
      <c r="X37" s="7"/>
      <c r="Y37" s="7">
        <v>5</v>
      </c>
      <c r="Z37" s="12">
        <f t="shared" si="28"/>
      </c>
      <c r="AA37" s="65">
        <f>IF(Z37&lt;0.5,0,IF(Z37="",0,IF(AB28=0,$J$12,AB28)))</f>
        <v>0</v>
      </c>
      <c r="AB37" s="65">
        <f>IF(Z37="",0,IF(Z37&lt;0.5,0,IF(Z37&lt;=AF28,AA37+Z37*V12,$L$12)))</f>
        <v>0</v>
      </c>
      <c r="AC37" s="12">
        <f t="shared" si="27"/>
        <v>0</v>
      </c>
      <c r="AD37">
        <f>IF($N$12=0,"",IF(Z37="","",IF(ROUND(AC37-$N$12,0)=0,"LOT 4",IF(Z37&lt;0.5,"",IF(AB37-AA37&lt;$N$12,"PARTIAL","NOT")))))</f>
      </c>
      <c r="AF37" s="12">
        <f>IF(Z37="",0,$N$12-AC37-AC28-AC19-AC10)</f>
        <v>0</v>
      </c>
      <c r="AG37" s="7" t="s">
        <v>58</v>
      </c>
      <c r="AH37" s="12">
        <f>IF(AC37=0,"",IF(AND(AI33="",AI34="",AI35="",AI36=""),$J$28,IF(AND(AJ33="",AJ34="",AJ35="",AJ36=""),AH36-AI36,"")))</f>
      </c>
      <c r="AI37" s="12">
        <f t="shared" si="29"/>
      </c>
      <c r="AJ37" s="65">
        <f t="shared" si="30"/>
      </c>
      <c r="AK37" s="7" t="s">
        <v>58</v>
      </c>
      <c r="AL37" s="12">
        <f>IF(AC37=0,"",IF(AND(AM33="",AM34="",AM35="",AM36=""),$J$29,IF(AND(AN33="",AN34="",AN35="",AN36=""),AL36-AM36,"")))</f>
      </c>
      <c r="AM37" s="12">
        <f t="shared" si="31"/>
      </c>
      <c r="AN37" s="65">
        <f t="shared" si="32"/>
      </c>
      <c r="AO37" s="7" t="s">
        <v>58</v>
      </c>
      <c r="AU37" s="1" t="s">
        <v>182</v>
      </c>
    </row>
    <row r="38" spans="1:47" ht="12.75">
      <c r="A38" s="18"/>
      <c r="B38" s="111">
        <f>IF($K$16&gt;B36,B36+1,"")</f>
        <v>6</v>
      </c>
      <c r="C38" s="18"/>
      <c r="D38" s="432" t="s">
        <v>117</v>
      </c>
      <c r="E38" s="433"/>
      <c r="F38" s="11">
        <v>2</v>
      </c>
      <c r="G38" s="95"/>
      <c r="H38" s="18"/>
      <c r="I38" s="18"/>
      <c r="J38" s="18"/>
      <c r="K38" s="18"/>
      <c r="L38" s="18"/>
      <c r="M38" s="18"/>
      <c r="N38" s="18"/>
      <c r="O38" s="18"/>
      <c r="P38" s="18"/>
      <c r="Q38" s="18"/>
      <c r="X38" s="7"/>
      <c r="Y38" s="7">
        <v>6</v>
      </c>
      <c r="Z38" s="12">
        <f t="shared" si="28"/>
      </c>
      <c r="AA38" s="65">
        <f>IF(Z38&lt;0.5,0,IF(Z38="",0,IF(AB29=0,$J$13,AB29)))</f>
        <v>0</v>
      </c>
      <c r="AB38" s="65">
        <f>IF(Z38="",0,IF(Z38&lt;0.5,0,IF(Z38&lt;=AF29,AA38+Z38*V13,$L$13)))</f>
        <v>0</v>
      </c>
      <c r="AC38" s="12">
        <f t="shared" si="27"/>
        <v>0</v>
      </c>
      <c r="AD38">
        <f>IF($N$13=0,"",IF(Z38="","",IF(ROUND(AC38-$N$13,0)=0,"LOT 4",IF(Z38&lt;0.5,"",IF(AB38-AA38&lt;$N$13,"PARTIAL","NOT")))))</f>
      </c>
      <c r="AF38" s="12">
        <f>IF(Z38="",0,$N$13-AC38-AC29-AC20-AC11)</f>
        <v>0</v>
      </c>
      <c r="AG38" s="7" t="s">
        <v>61</v>
      </c>
      <c r="AH38" s="12">
        <f>IF(AC38=0,"",IF(AND(AI33="",AI34="",AI35="",AI36="",AI37=""),$J$28,IF(AND(AJ33="",AJ34="",AJ35="",AJ36="",AJ37=""),AH37-AI37,"")))</f>
      </c>
      <c r="AI38" s="12">
        <f t="shared" si="29"/>
      </c>
      <c r="AJ38" s="65">
        <f t="shared" si="30"/>
      </c>
      <c r="AK38" s="7" t="s">
        <v>61</v>
      </c>
      <c r="AL38" s="12">
        <f>IF(AC38=0,"",IF(AND(AM33="",AM34="",AM35="",AM36="",AM37=""),$J$29,IF(AND(AN33="",AN34="",AN35="",AN36="",AN37=""),AL37-AM37,"")))</f>
      </c>
      <c r="AM38" s="12">
        <f t="shared" si="31"/>
      </c>
      <c r="AN38" s="65">
        <f t="shared" si="32"/>
      </c>
      <c r="AO38" s="7" t="s">
        <v>61</v>
      </c>
      <c r="AU38" s="1" t="s">
        <v>183</v>
      </c>
    </row>
    <row r="39" spans="1:47" ht="12.75">
      <c r="A39" s="18"/>
      <c r="B39" s="111">
        <f>B38</f>
        <v>6</v>
      </c>
      <c r="C39" s="18"/>
      <c r="D39" s="432" t="s">
        <v>118</v>
      </c>
      <c r="E39" s="433"/>
      <c r="F39" s="11">
        <v>3</v>
      </c>
      <c r="G39" s="95"/>
      <c r="H39" s="18"/>
      <c r="I39" s="18"/>
      <c r="J39" s="18"/>
      <c r="K39" s="18"/>
      <c r="L39" s="18"/>
      <c r="M39" s="18"/>
      <c r="N39" s="18"/>
      <c r="O39" s="18"/>
      <c r="P39" s="18"/>
      <c r="Q39" s="18"/>
      <c r="X39" s="7"/>
      <c r="Y39" s="7">
        <v>7</v>
      </c>
      <c r="Z39" s="12">
        <f t="shared" si="28"/>
      </c>
      <c r="AA39" s="65">
        <f>IF(Z39&lt;0.5,0,IF(Z39="",0,IF(AB30=0,$J$14,AB30)))</f>
        <v>0</v>
      </c>
      <c r="AB39" s="65">
        <f>IF(Z39="",0,IF(Z39&lt;0.5,0,IF(Z39&lt;=AF30,AA39+Z39*V14,$L$14)))</f>
        <v>0</v>
      </c>
      <c r="AC39" s="12">
        <f t="shared" si="27"/>
        <v>0</v>
      </c>
      <c r="AD39">
        <f>IF($N$14=0,"",IF(Z39="","",IF(ROUND(AC39-$N$14,0)=0,"LOT 4",IF(Z39&lt;0.5,"",IF(AB39-AA39&lt;$N$14,"PARTIAL","NOT")))))</f>
      </c>
      <c r="AF39" s="12">
        <f>IF(Z39="",0,$N$14-AC39-AC30-AC21-AC12)</f>
        <v>0</v>
      </c>
      <c r="AG39" s="7" t="s">
        <v>237</v>
      </c>
      <c r="AH39" s="12">
        <f>IF(AC39=0,"",IF(AND(AI33="",AI34="",AI35="",AI36="",AI37="",AI38=""),$J$28,IF(AND(AJ33="",AJ34="",AJ35="",AJ36="",AJ37="",AJ38=""),AH38-AI38,"")))</f>
      </c>
      <c r="AI39" s="12">
        <f t="shared" si="29"/>
      </c>
      <c r="AJ39" s="65">
        <f t="shared" si="30"/>
      </c>
      <c r="AK39" s="7" t="s">
        <v>237</v>
      </c>
      <c r="AL39" s="12">
        <f>IF(AC39=0,"",IF(AND(AM33="",AM34="",AM35="",AM36="",AM37="",AM38=""),$J$29,IF(AND(AN33="",AN34="",AN35="",AN36="",AN37="",AN38=""),AL38-AM38,"")))</f>
      </c>
      <c r="AM39" s="12">
        <f t="shared" si="31"/>
      </c>
      <c r="AN39" s="65">
        <f t="shared" si="32"/>
      </c>
      <c r="AO39" s="7" t="s">
        <v>237</v>
      </c>
      <c r="AU39" s="1" t="s">
        <v>184</v>
      </c>
    </row>
    <row r="40" spans="1:47" ht="12.75">
      <c r="A40" s="18"/>
      <c r="B40" s="18"/>
      <c r="C40" s="18"/>
      <c r="D40" s="432" t="s">
        <v>119</v>
      </c>
      <c r="E40" s="433"/>
      <c r="F40" s="11">
        <v>4</v>
      </c>
      <c r="G40" s="95"/>
      <c r="H40" s="18"/>
      <c r="I40" s="18"/>
      <c r="J40" s="18"/>
      <c r="K40" s="18"/>
      <c r="L40" s="18"/>
      <c r="M40" s="18"/>
      <c r="N40" s="18"/>
      <c r="O40" s="18"/>
      <c r="P40" s="18"/>
      <c r="Q40" s="18"/>
      <c r="X40" s="7"/>
      <c r="Y40" s="7">
        <v>8</v>
      </c>
      <c r="Z40" s="12">
        <f t="shared" si="28"/>
      </c>
      <c r="AA40" s="65">
        <f>IF(Z40&lt;0.5,0,IF(Z40="",0,IF(AB31=0,$J$15,AB31)))</f>
        <v>0</v>
      </c>
      <c r="AB40" s="65">
        <f>IF(Z40="",0,IF(Z40&lt;0.5,0,IF(Z40&lt;=AF31,AA40+Z40*V15,$L$15)))</f>
        <v>0</v>
      </c>
      <c r="AC40" s="12">
        <f t="shared" si="27"/>
        <v>0</v>
      </c>
      <c r="AD40">
        <f>IF($N$15=0,"",IF(Z40="","",IF(ROUND(AC40-$N$15,0)=0,"LOT 4",IF(Z40&lt;0.5,"",IF(AB40-AA40&lt;$N$15,"PARTIAL","NOT")))))</f>
      </c>
      <c r="AF40" s="12">
        <f>IF(Z40="",0,$N$15-AC40-AC31-AC22-AC13)</f>
        <v>0</v>
      </c>
      <c r="AG40" s="7" t="s">
        <v>238</v>
      </c>
      <c r="AH40" s="12">
        <f>IF(AC40=0,"",IF(AND(AI33="",AI34="",AI35="",AI36="",AI37="",AI38="",AI39=""),$J$28,IF(AND(AJ33="",AJ34="",AJ35="",AJ36="",AJ37="",AJ38="",AJ39=""),AH39-AI39,"")))</f>
      </c>
      <c r="AI40" s="12">
        <f t="shared" si="29"/>
      </c>
      <c r="AJ40" s="65">
        <f t="shared" si="30"/>
      </c>
      <c r="AK40" s="7" t="s">
        <v>238</v>
      </c>
      <c r="AL40" s="12">
        <f>IF(AC40=0,"",IF(AND(AM33="",AM34="",AM35="",AM36="",AM37="",AM38="",AM39=""),$J$29,IF(AND(AN33="",AN34="",AN35="",AN36="",AN37="",AN38="",AN39=""),AL39-AM39,"")))</f>
      </c>
      <c r="AM40" s="12">
        <f t="shared" si="31"/>
      </c>
      <c r="AN40" s="65">
        <f t="shared" si="32"/>
      </c>
      <c r="AO40" s="7" t="s">
        <v>238</v>
      </c>
      <c r="AU40" s="1" t="s">
        <v>185</v>
      </c>
    </row>
    <row r="41" spans="1:47" ht="12.75">
      <c r="A41" s="18"/>
      <c r="B41" s="111">
        <f>IF($K$16&gt;B39,B39+1," ")</f>
        <v>7</v>
      </c>
      <c r="C41" s="18"/>
      <c r="D41" s="432" t="s">
        <v>120</v>
      </c>
      <c r="E41" s="433"/>
      <c r="F41" s="11">
        <v>5</v>
      </c>
      <c r="G41" s="95"/>
      <c r="H41" s="18"/>
      <c r="I41" s="18"/>
      <c r="J41" s="18"/>
      <c r="K41" s="18"/>
      <c r="L41" s="18"/>
      <c r="M41" s="18"/>
      <c r="N41" s="18"/>
      <c r="O41" s="18"/>
      <c r="P41" s="18"/>
      <c r="Q41" s="18"/>
      <c r="X41" s="7"/>
      <c r="Y41" s="7"/>
      <c r="Z41" s="12"/>
      <c r="AU41" s="1" t="s">
        <v>186</v>
      </c>
    </row>
    <row r="42" spans="1:47" ht="12.75">
      <c r="A42" s="18"/>
      <c r="B42" s="111">
        <f>B41</f>
        <v>7</v>
      </c>
      <c r="C42" s="18"/>
      <c r="D42" s="432" t="s">
        <v>121</v>
      </c>
      <c r="E42" s="433"/>
      <c r="F42" s="11">
        <v>6</v>
      </c>
      <c r="G42" s="95"/>
      <c r="H42" s="18"/>
      <c r="I42" s="18"/>
      <c r="J42" s="18"/>
      <c r="K42" s="476" t="s">
        <v>107</v>
      </c>
      <c r="L42" s="476"/>
      <c r="M42" s="476"/>
      <c r="N42" s="18"/>
      <c r="O42" s="18"/>
      <c r="P42" s="18"/>
      <c r="Q42" s="18"/>
      <c r="X42" s="7">
        <v>5</v>
      </c>
      <c r="Y42" s="7">
        <v>1</v>
      </c>
      <c r="Z42" s="12">
        <f>IF($L$16&lt;5,"",(IF(ROUND(AF33,0)=0,"",$L$17)))</f>
      </c>
      <c r="AA42" s="65">
        <f>IF(Z42&lt;0.5,0,IF(Z42="",0,IF(AB33=0,$J$8,AB33)))</f>
        <v>0</v>
      </c>
      <c r="AB42" s="65">
        <f>IF(Z42="",0,IF(Z42&lt;0.5,0,IF(Z42&lt;=AF33,AA42+Z42*V8,$L$8)))</f>
        <v>0</v>
      </c>
      <c r="AC42" s="12">
        <f aca="true" t="shared" si="33" ref="AC42:AC49">ABS(AB42-AA42)</f>
        <v>0</v>
      </c>
      <c r="AD42">
        <f>IF($N$8=0,"",IF(Z42="","",IF(ROUND(AC42-$N$8,0)=0,"LOT 5",IF(Z42&lt;0.5,"",IF(AB42-AA42&lt;$N$8,"PARTIAL","NOT")))))</f>
      </c>
      <c r="AF42" s="12">
        <f>IF(Z42="",0,$N$8-AC42-AC33-AC24-AC15-AC6)</f>
        <v>0</v>
      </c>
      <c r="AG42" s="7" t="s">
        <v>46</v>
      </c>
      <c r="AH42" s="12">
        <f>IF(AC42=0,"",$J$30)</f>
      </c>
      <c r="AI42" s="12">
        <f>IF(AC42=0,"",IF(AC42&gt;=AH42,AH42,AC42))</f>
      </c>
      <c r="AJ42" s="65">
        <f>IF(AH42="","",IF(AI42=AC42,"",AA42+AI42*V8))</f>
      </c>
      <c r="AK42" s="7" t="s">
        <v>46</v>
      </c>
      <c r="AL42" s="12">
        <f>IF(AC42=0,"",$J$31)</f>
      </c>
      <c r="AM42" s="12">
        <f>IF(AC42=0,"",IF(AC42&gt;=AL42,AL42,AC42))</f>
      </c>
      <c r="AN42" s="65">
        <f>IF(AL42="","",IF(AM42=AC42,"",AA42+AM42*V8))</f>
      </c>
      <c r="AO42" s="7" t="s">
        <v>46</v>
      </c>
      <c r="AU42" s="1" t="s">
        <v>187</v>
      </c>
    </row>
    <row r="43" spans="1:47" ht="13.5" thickBot="1">
      <c r="A43" s="18"/>
      <c r="B43" s="18"/>
      <c r="C43" s="18"/>
      <c r="D43" s="99" t="s">
        <v>122</v>
      </c>
      <c r="E43" s="99"/>
      <c r="F43" s="18"/>
      <c r="G43" s="18"/>
      <c r="H43" s="18"/>
      <c r="I43" s="18"/>
      <c r="J43" s="18"/>
      <c r="K43" s="476"/>
      <c r="L43" s="477"/>
      <c r="M43" s="477"/>
      <c r="N43" s="18"/>
      <c r="O43" s="18"/>
      <c r="P43" s="18"/>
      <c r="Q43" s="18"/>
      <c r="X43" s="7"/>
      <c r="Y43" s="7">
        <v>2</v>
      </c>
      <c r="Z43" s="12">
        <f aca="true" t="shared" si="34" ref="Z43:Z49">IF(ROUND(AF34,0)=0,"",IF(Z42="",$L$17,ABS(Z42-AC42)))</f>
      </c>
      <c r="AA43" s="65">
        <f>IF(Z43&lt;0.5,0,IF(Z43="",0,IF(AB34=0,$J$9,AB34)))</f>
        <v>0</v>
      </c>
      <c r="AB43" s="65">
        <f>IF(Z43="",0,IF(Z43&lt;0.5,0,IF(Z43&lt;=AF34,AA43+Z43*V9,$L$9)))</f>
        <v>0</v>
      </c>
      <c r="AC43" s="12">
        <f t="shared" si="33"/>
        <v>0</v>
      </c>
      <c r="AD43">
        <f>IF($N$9=0,"",IF(Z43="","",IF(ROUND(AC43-$N$9,0)=0,"LOT 5",IF(Z43&lt;0.5,"",IF(AB43-AA43&lt;$N$9,"PARTIAL","NOT")))))</f>
      </c>
      <c r="AF43" s="12">
        <f>IF(Z43="",0,$N$9-AC43-AC34-AC25-AC16-AC7)</f>
        <v>0</v>
      </c>
      <c r="AG43" s="7" t="s">
        <v>49</v>
      </c>
      <c r="AH43" s="12">
        <f>IF(AC43=0,"",IF(AI42="",$J$30,IF(AJ42="",AH42-AI42,"")))</f>
      </c>
      <c r="AI43" s="12">
        <f aca="true" t="shared" si="35" ref="AI43:AI49">IF(AH43="","",IF(AC43&gt;=AH43,AH43,AC43))</f>
      </c>
      <c r="AJ43" s="65">
        <f aca="true" t="shared" si="36" ref="AJ43:AJ49">IF(AH43="","",IF(ROUND(AI43-AH43,0)=0,AA43+AI43*V9,IF(AI43=AC43,"",AA43+AI43*V9)))</f>
      </c>
      <c r="AK43" s="7" t="s">
        <v>49</v>
      </c>
      <c r="AL43" s="12">
        <f>IF(AC43=0,"",IF(AM42="",$J$31,IF(AN42="",AL42-AM42,"")))</f>
      </c>
      <c r="AM43" s="12">
        <f aca="true" t="shared" si="37" ref="AM43:AM49">IF(AL43="","",IF(AC43&gt;=AL43,AL43,AC43))</f>
      </c>
      <c r="AN43" s="65">
        <f aca="true" t="shared" si="38" ref="AN43:AN49">IF(AL43="","",IF(ROUND(AM43-AL43,0)=0,AA43+AM43*V9,IF(AM43=AC43,"",AA43+AM43*V9)))</f>
      </c>
      <c r="AO43" s="7" t="s">
        <v>49</v>
      </c>
      <c r="AU43" s="1" t="s">
        <v>188</v>
      </c>
    </row>
    <row r="44" spans="1:47" ht="13.5" thickTop="1">
      <c r="A44" s="18"/>
      <c r="B44" s="18"/>
      <c r="C44" s="18"/>
      <c r="D44" s="99" t="s">
        <v>123</v>
      </c>
      <c r="E44" s="99"/>
      <c r="F44" s="111"/>
      <c r="G44" s="111"/>
      <c r="H44" s="18"/>
      <c r="I44" s="18"/>
      <c r="J44" s="18"/>
      <c r="K44" s="18"/>
      <c r="L44" s="18"/>
      <c r="M44" s="18"/>
      <c r="N44" s="18"/>
      <c r="O44" s="18"/>
      <c r="P44" s="18"/>
      <c r="Q44" s="18"/>
      <c r="X44" s="7"/>
      <c r="Y44" s="7">
        <v>3</v>
      </c>
      <c r="Z44" s="12">
        <f t="shared" si="34"/>
      </c>
      <c r="AA44" s="65">
        <f>IF(Z44&lt;0.5,0,IF(Z44="",0,IF(AB35=0,$J$10,AB35)))</f>
        <v>0</v>
      </c>
      <c r="AB44" s="65">
        <f>IF(Z44="",0,IF(Z44&lt;0.5,0,IF(Z44&lt;=AF35,AA44+Z44*V10,$L$10)))</f>
        <v>0</v>
      </c>
      <c r="AC44" s="12">
        <f t="shared" si="33"/>
        <v>0</v>
      </c>
      <c r="AD44">
        <f>IF($N$10=0,"",IF(Z44="","",IF(ROUND(AC44-$N$10,0)=0,"LOT 5",IF(Z44&lt;0.5,"",IF(AC44&lt;$N$10,"PARTIAL","NOT")))))</f>
      </c>
      <c r="AF44" s="12">
        <f>IF(Z44="",0,$N$10-AC44-AC35-AC26-AC17-AC8)</f>
        <v>0</v>
      </c>
      <c r="AG44" s="7" t="s">
        <v>54</v>
      </c>
      <c r="AH44" s="12">
        <f>IF(AC44=0,"",IF(AND(AI42="",AI43=""),$J$30,IF(AND(AJ42="",AJ43=""),AH43-AI43,"")))</f>
      </c>
      <c r="AI44" s="12">
        <f t="shared" si="35"/>
      </c>
      <c r="AJ44" s="65">
        <f t="shared" si="36"/>
      </c>
      <c r="AK44" s="7" t="s">
        <v>54</v>
      </c>
      <c r="AL44" s="12">
        <f>IF(AC44=0,"",IF(AND(AM42="",AM43=""),$J$31,IF(AND(AN42="",AN43=""),AL43-AM43,"")))</f>
      </c>
      <c r="AM44" s="12">
        <f t="shared" si="37"/>
      </c>
      <c r="AN44" s="65">
        <f t="shared" si="38"/>
      </c>
      <c r="AO44" s="7" t="s">
        <v>54</v>
      </c>
      <c r="AU44" s="1" t="s">
        <v>189</v>
      </c>
    </row>
    <row r="45" spans="1:47" ht="12.75">
      <c r="A45" s="18"/>
      <c r="B45" s="18"/>
      <c r="C45" s="18"/>
      <c r="D45" s="18"/>
      <c r="E45" s="18"/>
      <c r="F45" s="18"/>
      <c r="G45" s="18"/>
      <c r="H45" s="18"/>
      <c r="I45" s="18"/>
      <c r="J45" s="18"/>
      <c r="K45" s="18"/>
      <c r="L45" s="18"/>
      <c r="M45" s="18"/>
      <c r="N45" s="18"/>
      <c r="O45" s="18"/>
      <c r="P45" s="18"/>
      <c r="Q45" s="18"/>
      <c r="X45" s="7"/>
      <c r="Y45" s="7">
        <v>4</v>
      </c>
      <c r="Z45" s="12">
        <f t="shared" si="34"/>
      </c>
      <c r="AA45" s="65">
        <f>IF(Z45&lt;0.5,0,IF(Z45="",0,IF(AB36=0,$J$11,AB36)))</f>
        <v>0</v>
      </c>
      <c r="AB45" s="65">
        <f>IF(Z45="",0,IF(Z45&lt;0.5,0,IF(Z45&lt;=AF36,AA45+Z45*V11,$L$11)))</f>
        <v>0</v>
      </c>
      <c r="AC45" s="12">
        <f t="shared" si="33"/>
        <v>0</v>
      </c>
      <c r="AD45">
        <f>IF($N$11=0,"",IF(Z45="","",IF(ROUND(AC45-$N$11,0)=0,"LOT 5",IF(Z45&lt;0.5,"",IF(AB45-AA45&lt;$N$11,"PARTIAL","NOT")))))</f>
      </c>
      <c r="AF45" s="12">
        <f>IF(Z45="",0,$N$11-AC45-AC36-AC27-AC18-AC9)</f>
        <v>0</v>
      </c>
      <c r="AG45" s="7" t="s">
        <v>56</v>
      </c>
      <c r="AH45" s="12">
        <f>IF(AC45=0,"",IF(AND(AI42="",AI43="",AI44=""),$J$30,IF(AND(AJ42="",AJ43="",AJ44=""),AH44-AI44,"")))</f>
      </c>
      <c r="AI45" s="12">
        <f t="shared" si="35"/>
      </c>
      <c r="AJ45" s="65">
        <f t="shared" si="36"/>
      </c>
      <c r="AK45" s="7" t="s">
        <v>56</v>
      </c>
      <c r="AL45" s="12">
        <f>IF(AC45=0,"",IF(AND(AM42="",AM43="",AM44=""),$J$31,IF(AND(AN42="",AN43="",AN44=""),AL44-AM44,"")))</f>
      </c>
      <c r="AM45" s="12">
        <f t="shared" si="37"/>
      </c>
      <c r="AN45" s="65">
        <f t="shared" si="38"/>
      </c>
      <c r="AO45" s="7" t="s">
        <v>56</v>
      </c>
      <c r="AU45" s="1" t="s">
        <v>216</v>
      </c>
    </row>
    <row r="46" spans="1:47" ht="12.75">
      <c r="A46" s="18"/>
      <c r="B46" s="18"/>
      <c r="C46" s="18"/>
      <c r="D46" s="18"/>
      <c r="E46" s="18"/>
      <c r="F46" s="18"/>
      <c r="G46" s="18"/>
      <c r="H46" s="18"/>
      <c r="I46" s="18"/>
      <c r="J46" s="18"/>
      <c r="K46" s="18"/>
      <c r="L46" s="18"/>
      <c r="M46" s="18"/>
      <c r="N46" s="18"/>
      <c r="O46" s="18"/>
      <c r="P46" s="18"/>
      <c r="Q46" s="18"/>
      <c r="X46" s="7"/>
      <c r="Y46" s="7">
        <v>5</v>
      </c>
      <c r="Z46" s="12">
        <f t="shared" si="34"/>
      </c>
      <c r="AA46" s="65">
        <f>IF(Z46&lt;0.5,0,IF(Z46="",0,IF(AB37=0,$J$12,AB37)))</f>
        <v>0</v>
      </c>
      <c r="AB46" s="65">
        <f>IF(Z46="",0,IF(Z46&lt;0.5,0,IF(Z46&lt;=AF37,AA46+Z46*V12,$L$12)))</f>
        <v>0</v>
      </c>
      <c r="AC46" s="12">
        <f t="shared" si="33"/>
        <v>0</v>
      </c>
      <c r="AD46">
        <f>IF($N$12=0,"",IF(Z46="","",IF(ROUND(AC46-$N$12,0)=0,"LOT 5",IF(Z46&lt;0.5,"",IF(AB46-AA46&lt;$N$12,"PARTIAL","NOT")))))</f>
      </c>
      <c r="AF46" s="12">
        <f>IF(Z46="",0,$N$12-AC46-AC37-AC28-AC19-AC10)</f>
        <v>0</v>
      </c>
      <c r="AG46" s="7" t="s">
        <v>58</v>
      </c>
      <c r="AH46" s="12">
        <f>IF(AC46=0,"",IF(AND(AI42="",AI43="",AI44="",AI45=""),$J$30,IF(AND(AJ42="",AJ43="",AJ44="",AJ45=""),AH45-AI45,"")))</f>
      </c>
      <c r="AI46" s="12">
        <f t="shared" si="35"/>
      </c>
      <c r="AJ46" s="65">
        <f t="shared" si="36"/>
      </c>
      <c r="AK46" s="7" t="s">
        <v>58</v>
      </c>
      <c r="AL46" s="12">
        <f>IF(AC46=0,"",IF(AND(AM42="",AM43="",AM44="",AM45=""),$J$31,IF(AND(AN42="",AN43="",AN44="",AN45=""),AL45-AM45,"")))</f>
      </c>
      <c r="AM46" s="12">
        <f t="shared" si="37"/>
      </c>
      <c r="AN46" s="65">
        <f t="shared" si="38"/>
      </c>
      <c r="AO46" s="7" t="s">
        <v>58</v>
      </c>
      <c r="AU46" s="1" t="s">
        <v>217</v>
      </c>
    </row>
    <row r="47" spans="1:47" ht="18">
      <c r="A47" s="18"/>
      <c r="G47" s="64"/>
      <c r="X47" s="7"/>
      <c r="Y47" s="7">
        <v>6</v>
      </c>
      <c r="Z47" s="12">
        <f t="shared" si="34"/>
      </c>
      <c r="AA47" s="65">
        <f>IF(Z47&lt;0.5,0,IF(Z47="",0,IF(AB38=0,$J$13,AB38)))</f>
        <v>0</v>
      </c>
      <c r="AB47" s="65">
        <f>IF(Z47="",0,IF(Z47&lt;0.5,0,IF(Z47&lt;=AF38,AA47+Z47*V13,$L$13)))</f>
        <v>0</v>
      </c>
      <c r="AC47" s="12">
        <f t="shared" si="33"/>
        <v>0</v>
      </c>
      <c r="AD47">
        <f>IF($N$13=0,"",IF(Z47="","",IF(ROUND(AC47-$N$13,0)=0,"LOT 5",IF(Z47&lt;0.5,"",IF(AB47-AA47&lt;$N$13,"PARTIAL","NOT")))))</f>
      </c>
      <c r="AF47" s="12">
        <f>IF(Z47="",0,$N$13-AC47-AC38-AC29-AC20-AC11)</f>
        <v>0</v>
      </c>
      <c r="AG47" s="7" t="s">
        <v>61</v>
      </c>
      <c r="AH47" s="12">
        <f>IF(AC47=0,"",IF(AND(AI42="",AI43="",AI44="",AI45="",AI46=""),$J$30,IF(AND(AJ42="",AJ43="",AJ44="",AJ45="",AJ46=""),AH46-AI46,"")))</f>
      </c>
      <c r="AI47" s="12">
        <f t="shared" si="35"/>
      </c>
      <c r="AJ47" s="65">
        <f t="shared" si="36"/>
      </c>
      <c r="AK47" s="7" t="s">
        <v>61</v>
      </c>
      <c r="AL47" s="12">
        <f>IF(AC47=0,"",IF(AND(AM42="",AM43="",AM44="",AM45="",AM46=""),$J$31,IF(AND(AN42="",AN43="",AN44="",AN45="",AN46=""),AL46-AM46,"")))</f>
      </c>
      <c r="AM47" s="12">
        <f t="shared" si="37"/>
      </c>
      <c r="AN47" s="65">
        <f t="shared" si="38"/>
      </c>
      <c r="AO47" s="7" t="s">
        <v>61</v>
      </c>
      <c r="AU47" s="1" t="s">
        <v>218</v>
      </c>
    </row>
    <row r="48" spans="1:47" ht="12.75">
      <c r="A48" s="18"/>
      <c r="G48" s="53"/>
      <c r="X48" s="7"/>
      <c r="Y48" s="7">
        <v>7</v>
      </c>
      <c r="Z48" s="12">
        <f t="shared" si="34"/>
      </c>
      <c r="AA48" s="65">
        <f>IF(Z48&lt;0.5,0,IF(Z48="",0,IF(AB39=0,$J$14,AB39)))</f>
        <v>0</v>
      </c>
      <c r="AB48" s="65">
        <f>IF(Z48="",0,IF(Z48&lt;0.5,0,IF(Z48&lt;=AF39,AA48+Z48*V14,$L$14)))</f>
        <v>0</v>
      </c>
      <c r="AC48" s="12">
        <f t="shared" si="33"/>
        <v>0</v>
      </c>
      <c r="AD48">
        <f>IF($N$14=0,"",IF(Z48="","",IF(ROUND(AC48-$N$14,0)=0,"LOT 5",IF(Z48&lt;0.5,"",IF(AB48-AA48&lt;$N$14,"PARTIAL","NOT")))))</f>
      </c>
      <c r="AF48" s="12">
        <f>IF(Z48="",0,$N$14-AC48-AC39-AC30-AC21-AC12)</f>
        <v>0</v>
      </c>
      <c r="AG48" s="7" t="s">
        <v>237</v>
      </c>
      <c r="AH48" s="12">
        <f>IF(AC48=0,"",IF(AND(AI42="",AI43="",AI44="",AI45="",AI46="",AI47=""),$J$30,IF(AND(AJ42="",AJ43="",AJ44="",AJ45="",AJ46="",AJ47=""),AH47-AI47,"")))</f>
      </c>
      <c r="AI48" s="12">
        <f t="shared" si="35"/>
      </c>
      <c r="AJ48" s="65">
        <f t="shared" si="36"/>
      </c>
      <c r="AK48" s="7" t="s">
        <v>237</v>
      </c>
      <c r="AL48" s="12">
        <f>IF(AC48=0,"",IF(AND(AM42="",AM43="",AM44="",AM45="",AM46="",AM47=""),$J$31,IF(AND(AN42="",AN43="",AN44="",AN45="",AN46="",AN47=""),AL47-AM47,"")))</f>
      </c>
      <c r="AM48" s="12">
        <f t="shared" si="37"/>
      </c>
      <c r="AN48" s="65">
        <f t="shared" si="38"/>
      </c>
      <c r="AO48" s="7" t="s">
        <v>237</v>
      </c>
      <c r="AU48" s="1" t="s">
        <v>219</v>
      </c>
    </row>
    <row r="49" spans="1:47" ht="12.75">
      <c r="A49" s="18"/>
      <c r="G49" s="53"/>
      <c r="X49" s="7"/>
      <c r="Y49" s="7">
        <v>8</v>
      </c>
      <c r="Z49" s="12">
        <f t="shared" si="34"/>
      </c>
      <c r="AA49" s="65">
        <f>IF(Z49&lt;0.5,0,IF(Z49="",0,IF(AB40=0,$J$15,AB40)))</f>
        <v>0</v>
      </c>
      <c r="AB49" s="65">
        <f>IF(Z49="",0,IF(Z49&lt;0.5,0,IF(Z49&lt;=AF40,AA49+Z49*V15,$L$15)))</f>
        <v>0</v>
      </c>
      <c r="AC49" s="12">
        <f t="shared" si="33"/>
        <v>0</v>
      </c>
      <c r="AD49">
        <f>IF($N$15=0,"",IF(Z49="","",IF(ROUND(AC49-$N$15,0)=0,"LOT 5",IF(Z49&lt;0.5,"",IF(AB49-AA49&lt;$N$15,"PARTIAL","NOT")))))</f>
      </c>
      <c r="AF49" s="12">
        <f>IF(Z49="",0,$N$15-AC49-AC40-AC31-AC22-AC13)</f>
        <v>0</v>
      </c>
      <c r="AG49" s="7" t="s">
        <v>238</v>
      </c>
      <c r="AH49" s="12">
        <f>IF(AC49=0,"",IF(AND(AI42="",AI43="",AI44="",AI45="",AI46="",AI47="",AI48=""),$J$30,IF(AND(AJ42="",AJ43="",AJ44="",AJ45="",AJ46="",AJ47="",AJ48=""),AH48-AI48,"")))</f>
      </c>
      <c r="AI49" s="12">
        <f t="shared" si="35"/>
      </c>
      <c r="AJ49" s="65">
        <f t="shared" si="36"/>
      </c>
      <c r="AK49" s="7" t="s">
        <v>238</v>
      </c>
      <c r="AL49" s="12">
        <f>IF(AC49=0,"",IF(AND(AM42="",AM43="",AM44="",AM45="",AM46="",AM47="",AM48=""),$J$31,IF(AND(AN42="",AN43="",AN44="",AN45="",AN46="",AN47="",AN48=""),AL48-AM48,"")))</f>
      </c>
      <c r="AM49" s="12">
        <f t="shared" si="37"/>
      </c>
      <c r="AN49" s="65">
        <f t="shared" si="38"/>
      </c>
      <c r="AO49" s="7" t="s">
        <v>238</v>
      </c>
      <c r="AU49" s="1" t="s">
        <v>220</v>
      </c>
    </row>
    <row r="50" spans="1:47" ht="12.75">
      <c r="A50" s="18"/>
      <c r="G50" s="53"/>
      <c r="X50" s="7"/>
      <c r="Y50" s="7"/>
      <c r="AU50" s="1" t="s">
        <v>221</v>
      </c>
    </row>
    <row r="51" spans="1:47" ht="12.75">
      <c r="A51" s="18"/>
      <c r="G51" s="53"/>
      <c r="X51" s="7">
        <v>6</v>
      </c>
      <c r="Y51" s="7">
        <v>1</v>
      </c>
      <c r="Z51" s="12">
        <f>IF($L$16&lt;6,"",(IF(ROUND(AF42,0)=0,"",$L$17)))</f>
      </c>
      <c r="AA51" s="65">
        <f>IF(Z51&lt;0.5,0,IF(Z51="",0,IF(AB42=0,$J$8,AB42)))</f>
        <v>0</v>
      </c>
      <c r="AB51" s="65">
        <f>IF(Z51="",0,IF(Z51&lt;0.5,0,IF(Z51&lt;=AF42,AA51+Z51*V8,$L$8)))</f>
        <v>0</v>
      </c>
      <c r="AC51" s="12">
        <f aca="true" t="shared" si="39" ref="AC51:AC58">ABS(AB51-AA51)</f>
        <v>0</v>
      </c>
      <c r="AD51">
        <f>IF($N$8=0,"",IF(Z51="","",IF(ROUND(AC51-$N$8,0)=0,"LOT 6",IF(Z51&lt;0.5,"",IF(AB51-AA51&lt;$N$8,"PARTIAL","NOT")))))</f>
      </c>
      <c r="AF51" s="12">
        <f>IF(Z51="",0,$N$8-AC51-AC42-AC33-AC24-AC15-AC6)</f>
        <v>0</v>
      </c>
      <c r="AG51" s="7" t="s">
        <v>46</v>
      </c>
      <c r="AH51" s="12">
        <f>IF(AC51=0,"",$J$32)</f>
      </c>
      <c r="AI51" s="12">
        <f>IF(AC51=0,"",IF(AC51&gt;=AH51,AH51,AC51))</f>
      </c>
      <c r="AJ51" s="65">
        <f>IF(AH51="","",IF(AI51=AC51,"",AA51+AI51*V8))</f>
      </c>
      <c r="AK51" s="7" t="s">
        <v>46</v>
      </c>
      <c r="AL51" s="12">
        <f>IF(AC51=0,"",$J$33)</f>
      </c>
      <c r="AM51" s="12">
        <f>IF(AC51=0,"",IF(AC51&gt;=AL51,AL51,AC51))</f>
      </c>
      <c r="AN51" s="65">
        <f>IF(AL51="","",IF(AM51=AC51,"",AA51+AM51*V8))</f>
      </c>
      <c r="AO51" s="7" t="s">
        <v>46</v>
      </c>
      <c r="AU51" s="1" t="s">
        <v>222</v>
      </c>
    </row>
    <row r="52" spans="1:47" ht="12.75">
      <c r="A52" s="18"/>
      <c r="G52" s="53"/>
      <c r="X52" s="7"/>
      <c r="Y52" s="7">
        <v>2</v>
      </c>
      <c r="Z52" s="12">
        <f aca="true" t="shared" si="40" ref="Z52:Z58">IF(ROUND(AF43,0)=0,"",IF(Z51="",$L$17,ABS(Z51-AC51)))</f>
      </c>
      <c r="AA52" s="65">
        <f>IF(Z52&lt;0.5,0,IF(Z52="",0,IF(AB43=0,$J$9,AB43)))</f>
        <v>0</v>
      </c>
      <c r="AB52" s="65">
        <f>IF(Z52="",0,IF(Z52&lt;0.5,0,IF(Z52&lt;=AF43,AA52+Z52*V9,$L$9)))</f>
        <v>0</v>
      </c>
      <c r="AC52" s="12">
        <f t="shared" si="39"/>
        <v>0</v>
      </c>
      <c r="AD52">
        <f>IF($N$9=0,"",IF(Z52="","",IF(ROUND(AC52-$N$9,0)=0,"LOT 6",IF(Z52&lt;0.5,"",IF(AB52-AA52&lt;$N$9,"PARTIAL","NOT")))))</f>
      </c>
      <c r="AF52" s="12">
        <f>IF(Z52="",0,$N$9-AC52-AC43-AC34-AC25-AC16-AC7)</f>
        <v>0</v>
      </c>
      <c r="AG52" s="7" t="s">
        <v>49</v>
      </c>
      <c r="AH52" s="12">
        <f>IF(AC52=0,"",IF(AI51="",$J$32,IF(AJ51="",AH51-AI51,"")))</f>
      </c>
      <c r="AI52" s="12">
        <f aca="true" t="shared" si="41" ref="AI52:AI58">IF(AH52="","",IF(AC52&gt;=AH52,AH52,AC52))</f>
      </c>
      <c r="AJ52" s="65">
        <f aca="true" t="shared" si="42" ref="AJ52:AJ58">IF(AH52="","",IF(ROUND(AI52-AH52,0)=0,AA52+AI52*V9,IF(AI52=AC52,"",AA52+AI52*V9)))</f>
      </c>
      <c r="AK52" s="7" t="s">
        <v>49</v>
      </c>
      <c r="AL52" s="12">
        <f>IF(AC52=0,"",IF(AM51="",$J$33,IF(AN51="",AL51-AM51,"")))</f>
      </c>
      <c r="AM52" s="12">
        <f aca="true" t="shared" si="43" ref="AM52:AM58">IF(AL52="","",IF(AC52&gt;=AL52,AL52,AC52))</f>
      </c>
      <c r="AN52" s="65">
        <f aca="true" t="shared" si="44" ref="AN52:AN58">IF(AL52="","",IF(ROUND(AM52-AL52,0)=0,AA52+AM52*V9,IF(AM52=AC52,"",AA52+AM52*V9)))</f>
      </c>
      <c r="AO52" s="7" t="s">
        <v>49</v>
      </c>
      <c r="AU52" s="174" t="s">
        <v>190</v>
      </c>
    </row>
    <row r="53" spans="1:47" ht="12.75">
      <c r="A53" s="18"/>
      <c r="G53" s="53"/>
      <c r="X53" s="7"/>
      <c r="Y53" s="7">
        <v>3</v>
      </c>
      <c r="Z53" s="12">
        <f t="shared" si="40"/>
      </c>
      <c r="AA53" s="65">
        <f>IF(Z53&lt;0.5,0,IF(Z53="",0,IF(AB44=0,$J$10,AB44)))</f>
        <v>0</v>
      </c>
      <c r="AB53" s="65">
        <f>IF(Z53="",0,IF(Z53&lt;0.5,0,IF(Z53&lt;=AF44,AA53+Z53*V10,$L$10)))</f>
        <v>0</v>
      </c>
      <c r="AC53" s="12">
        <f t="shared" si="39"/>
        <v>0</v>
      </c>
      <c r="AD53">
        <f>IF($N$10=0,"",IF(Z53="","",IF(ROUND(AC53-$N$10,0)=0,"LOT 6",IF(Z53&lt;0.5,"",IF(AC53&lt;$N$10,"PARTIAL","NOT")))))</f>
      </c>
      <c r="AF53" s="12">
        <f>IF(Z53="",0,$N$10-AC53-AC44-AC35-AC26-AC17-AC8)</f>
        <v>0</v>
      </c>
      <c r="AG53" s="7" t="s">
        <v>54</v>
      </c>
      <c r="AH53" s="12">
        <f>IF(AC53=0,"",IF(AND(AI51="",AI52=""),$J$32,IF(AND(AJ51="",AJ52=""),AH52-AI52,"")))</f>
      </c>
      <c r="AI53" s="12">
        <f t="shared" si="41"/>
      </c>
      <c r="AJ53" s="65">
        <f t="shared" si="42"/>
      </c>
      <c r="AK53" s="7" t="s">
        <v>54</v>
      </c>
      <c r="AL53" s="12">
        <f>IF(AC53=0,"",IF(AND(AM51="",AM52=""),$J$33,IF(AND(AN51="",AN52=""),AL52-AM52,"")))</f>
      </c>
      <c r="AM53" s="12">
        <f t="shared" si="43"/>
      </c>
      <c r="AN53" s="65">
        <f t="shared" si="44"/>
      </c>
      <c r="AO53" s="7" t="s">
        <v>54</v>
      </c>
      <c r="AU53" s="1" t="s">
        <v>191</v>
      </c>
    </row>
    <row r="54" spans="1:47" ht="12.75">
      <c r="A54" s="18"/>
      <c r="G54" s="53"/>
      <c r="X54" s="7"/>
      <c r="Y54" s="7">
        <v>4</v>
      </c>
      <c r="Z54" s="12">
        <f t="shared" si="40"/>
      </c>
      <c r="AA54" s="65">
        <f>IF(Z54&lt;0.5,0,IF(Z54="",0,IF(AB45=0,$J$11,AB45)))</f>
        <v>0</v>
      </c>
      <c r="AB54" s="65">
        <f>IF(Z54="",0,IF(Z54&lt;0.5,0,IF(Z54&lt;=AF45,AA54+Z54*V11,$L$11)))</f>
        <v>0</v>
      </c>
      <c r="AC54" s="12">
        <f t="shared" si="39"/>
        <v>0</v>
      </c>
      <c r="AD54">
        <f>IF($N$11=0,"",IF(Z54="","",IF(ROUND(AC54-$N$11,0)=0,"LOT 6",IF(Z54&lt;0.5,"",IF(AB54-AA54&lt;$N$11,"PARTIAL","NOT")))))</f>
      </c>
      <c r="AF54" s="12">
        <f>IF(Z54="",0,$N$11-AC54-AC45-AC36-AC27-AC18-AC9)</f>
        <v>0</v>
      </c>
      <c r="AG54" s="7" t="s">
        <v>56</v>
      </c>
      <c r="AH54" s="12">
        <f>IF(AC54=0,"",IF(AND(AI51="",AI52="",AI53=""),$J$32,IF(AND(AJ51="",AJ52="",AJ53=""),AH53-AI53,"")))</f>
      </c>
      <c r="AI54" s="12">
        <f t="shared" si="41"/>
      </c>
      <c r="AJ54" s="65">
        <f t="shared" si="42"/>
      </c>
      <c r="AK54" s="7" t="s">
        <v>56</v>
      </c>
      <c r="AL54" s="12">
        <f>IF(AC54=0,"",IF(AND(AM51="",AM52="",AM53=""),$J$33,IF(AND(AN51="",AN52="",AN53=""),AL53-AM53,"")))</f>
      </c>
      <c r="AM54" s="12">
        <f t="shared" si="43"/>
      </c>
      <c r="AN54" s="65">
        <f t="shared" si="44"/>
      </c>
      <c r="AO54" s="7" t="s">
        <v>56</v>
      </c>
      <c r="AU54" s="1" t="s">
        <v>192</v>
      </c>
    </row>
    <row r="55" spans="1:47" ht="12.75">
      <c r="A55" s="18"/>
      <c r="X55" s="7"/>
      <c r="Y55" s="7">
        <v>5</v>
      </c>
      <c r="Z55" s="12">
        <f t="shared" si="40"/>
      </c>
      <c r="AA55" s="65">
        <f>IF(Z55&lt;0.5,0,IF(Z55="",0,IF(AB46=0,$J$12,AB46)))</f>
        <v>0</v>
      </c>
      <c r="AB55" s="65">
        <f>IF(Z55="",0,IF(Z55&lt;0.5,0,IF(Z55&lt;=AF46,AA55+Z55*V12,$L$12)))</f>
        <v>0</v>
      </c>
      <c r="AC55" s="12">
        <f t="shared" si="39"/>
        <v>0</v>
      </c>
      <c r="AD55">
        <f>IF($N$12=0,"",IF(Z55="","",IF(ROUND(AC55-$N$12,0)=0,"LOT 6",IF(Z55&lt;0.5,"",IF(AB55-AA55&lt;$N$12,"PARTIAL","NOT")))))</f>
      </c>
      <c r="AF55" s="12">
        <f>IF(Z55="",0,$N$12-AC55-AC46-AC37-AC28-AC19-AC10)</f>
        <v>0</v>
      </c>
      <c r="AG55" s="7" t="s">
        <v>58</v>
      </c>
      <c r="AH55" s="12">
        <f>IF(AC55=0,"",IF(AND(AI51="",AI52="",AI53="",AI54=""),$J$32,IF(AND(AJ51="",AJ52="",AJ53="",AJ54=""),AH54-AI54,"")))</f>
      </c>
      <c r="AI55" s="12">
        <f t="shared" si="41"/>
      </c>
      <c r="AJ55" s="65">
        <f t="shared" si="42"/>
      </c>
      <c r="AK55" s="7" t="s">
        <v>58</v>
      </c>
      <c r="AL55" s="12">
        <f>IF(AC55=0,"",IF(AND(AM51="",AM52="",AM53="",AM54=""),$J$33,IF(AND(AN51="",AN52="",AN53="",AN54=""),AL54-AM54,"")))</f>
      </c>
      <c r="AM55" s="12">
        <f t="shared" si="43"/>
      </c>
      <c r="AN55" s="65">
        <f t="shared" si="44"/>
      </c>
      <c r="AO55" s="7" t="s">
        <v>58</v>
      </c>
      <c r="AU55" s="1" t="s">
        <v>193</v>
      </c>
    </row>
    <row r="56" spans="1:47" ht="12.75">
      <c r="A56" s="18"/>
      <c r="X56" s="7"/>
      <c r="Y56" s="7">
        <v>6</v>
      </c>
      <c r="Z56" s="12">
        <f t="shared" si="40"/>
      </c>
      <c r="AA56" s="65">
        <f>IF(Z56&lt;0.5,0,IF(Z56="",0,IF(AB47=0,$J$13,AB47)))</f>
        <v>0</v>
      </c>
      <c r="AB56" s="65">
        <f>IF(Z56="",0,IF(Z56&lt;0.5,0,IF(Z56&lt;=AF47,AA56+Z56*V13,$L$13)))</f>
        <v>0</v>
      </c>
      <c r="AC56" s="12">
        <f t="shared" si="39"/>
        <v>0</v>
      </c>
      <c r="AD56">
        <f>IF($N$13=0,"",IF(Z56="","",IF(ROUND(AC56-$N$13,0)=0,"LOT 6",IF(Z56&lt;0.5,"",IF(AB56-AA56&lt;$N$13,"PARTIAL","NOT")))))</f>
      </c>
      <c r="AF56" s="12">
        <f>IF(Z56="",0,$N$13-AC56-AC47-AC38-AC29-AC20-AC11)</f>
        <v>0</v>
      </c>
      <c r="AG56" s="7" t="s">
        <v>61</v>
      </c>
      <c r="AH56" s="12">
        <f>IF(AC56=0,"",IF(AND(AI51="",AI52="",AI53="",AI54="",AI55=""),$J$32,IF(AND(AJ51="",AJ52="",AJ53="",AJ54="",AJ55=""),AH55-AI55,"")))</f>
      </c>
      <c r="AI56" s="12">
        <f t="shared" si="41"/>
      </c>
      <c r="AJ56" s="65">
        <f t="shared" si="42"/>
      </c>
      <c r="AK56" s="7" t="s">
        <v>61</v>
      </c>
      <c r="AL56" s="12">
        <f>IF(AC56=0,"",IF(AND(AM51="",AM52="",AM53="",AM54="",AM55=""),$J$33,IF(AND(AN51="",AN52="",AN53="",AN54="",AN55=""),AL55-AM55,"")))</f>
      </c>
      <c r="AM56" s="12">
        <f t="shared" si="43"/>
      </c>
      <c r="AN56" s="65">
        <f t="shared" si="44"/>
      </c>
      <c r="AO56" s="7" t="s">
        <v>61</v>
      </c>
      <c r="AU56" s="1" t="s">
        <v>194</v>
      </c>
    </row>
    <row r="57" spans="1:47" ht="12.75">
      <c r="A57" s="18"/>
      <c r="X57" s="7"/>
      <c r="Y57" s="7">
        <v>7</v>
      </c>
      <c r="Z57" s="12">
        <f t="shared" si="40"/>
      </c>
      <c r="AA57" s="65">
        <f>IF(Z57&lt;0.5,0,IF(Z57="",0,IF(AB48=0,$J$14,AB48)))</f>
        <v>0</v>
      </c>
      <c r="AB57" s="65">
        <f>IF(Z57="",0,IF(Z57&lt;0.5,0,IF(Z57&lt;=AF48,AA57+Z57*V14,$L$14)))</f>
        <v>0</v>
      </c>
      <c r="AC57" s="12">
        <f t="shared" si="39"/>
        <v>0</v>
      </c>
      <c r="AD57">
        <f>IF($N$14=0,"",IF(Z57="","",IF(ROUND(AC57-$N$14,0)=0,"LOT 6",IF(Z57&lt;0.5,"",IF(AB57-AA57&lt;$N$14,"PARTIAL","NOT")))))</f>
      </c>
      <c r="AF57" s="12">
        <f>IF(Z57="",0,$N$14-AC57-AC48-AC39-AC30-AC21-AC12)</f>
        <v>0</v>
      </c>
      <c r="AG57" s="7" t="s">
        <v>237</v>
      </c>
      <c r="AH57" s="12">
        <f>IF(AC57=0,"",IF(AND(AI51="",AI52="",AI53="",AI54="",AI55="",AI56=""),$J$32,IF(AND(AJ51="",AJ52="",AJ53="",AJ54="",AJ55="",AJ56=""),AH56-AI56,"")))</f>
      </c>
      <c r="AI57" s="12">
        <f t="shared" si="41"/>
      </c>
      <c r="AJ57" s="65">
        <f t="shared" si="42"/>
      </c>
      <c r="AK57" s="7" t="s">
        <v>237</v>
      </c>
      <c r="AL57" s="12">
        <f>IF(AC57=0,"",IF(AND(AM51="",AM52="",AM53="",AM54="",AM55="",AM56=""),$J$33,IF(AND(AN51="",AN52="",AN53="",AN54="",AN55="",AN56=""),AL56-AM56,"")))</f>
      </c>
      <c r="AM57" s="12">
        <f t="shared" si="43"/>
      </c>
      <c r="AN57" s="65">
        <f t="shared" si="44"/>
      </c>
      <c r="AO57" s="7" t="s">
        <v>237</v>
      </c>
      <c r="AU57" s="1" t="s">
        <v>195</v>
      </c>
    </row>
    <row r="58" spans="1:47" ht="12.75">
      <c r="A58" s="18"/>
      <c r="X58" s="7"/>
      <c r="Y58" s="7">
        <v>8</v>
      </c>
      <c r="Z58" s="12">
        <f t="shared" si="40"/>
      </c>
      <c r="AA58" s="65">
        <f>IF(Z58&lt;0.5,0,IF(Z58="",0,IF(AB49=0,$J$15,AB49)))</f>
        <v>0</v>
      </c>
      <c r="AB58" s="65">
        <f>IF(Z58="",0,IF(Z58&lt;0.5,0,IF(Z58&lt;=AF49,AA58+Z58*V15,$L$15)))</f>
        <v>0</v>
      </c>
      <c r="AC58" s="12">
        <f t="shared" si="39"/>
        <v>0</v>
      </c>
      <c r="AD58">
        <f>IF($N$15=0,"",IF(Z58="","",IF(ROUND(AC58-$N$15,0)=0,"LOT 6",IF(Z58&lt;0.5,"",IF(AB58-AA58&lt;$N$15,"PARTIAL","NOT")))))</f>
      </c>
      <c r="AF58" s="12">
        <f>IF(Z58="",0,$N$15-AC58-AC49-AC40-AC31-AC22-AC13)</f>
        <v>0</v>
      </c>
      <c r="AG58" s="7" t="s">
        <v>238</v>
      </c>
      <c r="AH58" s="12">
        <f>IF(AC58=0,"",IF(AND(AI51="",AI52="",AI53="",AI54="",AI55="",AI56="",AI57=""),$J$32,IF(AND(AJ51="",AJ52="",AJ53="",AJ54="",AJ55="",AJ56="",AJ57=""),AH57-AI57,"")))</f>
      </c>
      <c r="AI58" s="12">
        <f t="shared" si="41"/>
      </c>
      <c r="AJ58" s="65">
        <f t="shared" si="42"/>
      </c>
      <c r="AK58" s="7" t="s">
        <v>238</v>
      </c>
      <c r="AL58" s="12">
        <f>IF(AC58=0,"",IF(AND(AM51="",AM52="",AM53="",AM54="",AM55="",AM56="",AM57=""),$J$33,IF(AND(AN51="",AN52="",AN53="",AN54="",AN55="",AN56="",AN57=""),AL57-AM57,"")))</f>
      </c>
      <c r="AM58" s="12">
        <f t="shared" si="43"/>
      </c>
      <c r="AN58" s="65">
        <f t="shared" si="44"/>
      </c>
      <c r="AO58" s="7" t="s">
        <v>238</v>
      </c>
      <c r="AU58" s="1" t="s">
        <v>196</v>
      </c>
    </row>
    <row r="59" spans="1:47" ht="12.75">
      <c r="A59" s="18"/>
      <c r="X59" s="7"/>
      <c r="Y59" s="7"/>
      <c r="AU59" s="1" t="s">
        <v>208</v>
      </c>
    </row>
    <row r="60" spans="24:47" ht="12.75">
      <c r="X60" s="7">
        <v>7</v>
      </c>
      <c r="Y60" s="7">
        <v>1</v>
      </c>
      <c r="Z60" s="12">
        <f>IF($L$16&lt;7,"",(IF(AF51=0,"",$L$17)))</f>
      </c>
      <c r="AA60" s="65">
        <f>IF(Z60&lt;0.5,0,IF(Z60="",0,IF(AB51=0,$J$8,AB51)))</f>
        <v>0</v>
      </c>
      <c r="AB60" s="65">
        <f>IF(Z60="",0,IF(Z60&lt;0.5,0,IF(Z60&lt;=AF51,AA60+Z60*V8,$L$8)))</f>
        <v>0</v>
      </c>
      <c r="AC60" s="12">
        <f aca="true" t="shared" si="45" ref="AC60:AC65">ABS(AB60-AA60)</f>
        <v>0</v>
      </c>
      <c r="AD60">
        <f>IF($N$8=0,"",IF(Z60="","",IF(ROUND(AC60-$N$8,0)=0,"LOT 7",IF(Z60&lt;0.5,"",IF(AB60-AA60&lt;$N$8,"PARTIAL","NOT")))))</f>
      </c>
      <c r="AF60" s="12">
        <f>IF(Z60="",0,$N$8-AC60-AC51-AC42-AC33-AC24-AC15-AC6)</f>
        <v>0</v>
      </c>
      <c r="AG60" s="7" t="s">
        <v>46</v>
      </c>
      <c r="AH60" s="12">
        <f>IF(AC60=0,"",$J$34)</f>
      </c>
      <c r="AI60" s="12">
        <f>IF(AC60=0,"",IF(AC60&gt;=AH60,AH60,AC60))</f>
      </c>
      <c r="AJ60" s="65">
        <f>IF(AH60="","",IF(AI60=AC60,"",AA60+AI60*V8))</f>
      </c>
      <c r="AK60" s="7" t="s">
        <v>46</v>
      </c>
      <c r="AL60" s="12">
        <f>IF(AC60=0,"",$J$35)</f>
      </c>
      <c r="AM60" s="12">
        <f>IF(AC60=0,"",IF(AC60&gt;=AL60,AL60,AC60))</f>
      </c>
      <c r="AN60" s="65">
        <f>IF(AL60="","",IF(AM60=AC60,"",AA60+AM60*V8))</f>
      </c>
      <c r="AO60" s="7" t="s">
        <v>46</v>
      </c>
      <c r="AU60" s="1" t="s">
        <v>209</v>
      </c>
    </row>
    <row r="61" spans="24:47" ht="12.75">
      <c r="X61" s="7"/>
      <c r="Y61" s="7">
        <v>2</v>
      </c>
      <c r="Z61" s="12">
        <f>IF(AF52=0,"",IF(Z60="",$L$17,ABS(Z60-AC60)))</f>
      </c>
      <c r="AA61" s="65">
        <f>IF(Z61&lt;0.5,0,IF(Z61="",0,IF(AB52=0,$J$9,AB52)))</f>
        <v>0</v>
      </c>
      <c r="AB61" s="65">
        <f>IF(Z61="",0,IF(Z61&lt;0.5,0,IF(Z61&lt;=AF52,AA61+Z61*V9,$L$9)))</f>
        <v>0</v>
      </c>
      <c r="AC61" s="12">
        <f t="shared" si="45"/>
        <v>0</v>
      </c>
      <c r="AD61">
        <f>IF($N$9=0,"",IF(Z61="","",IF(ROUND(AC61-$N$9,0)=0,"LOT 7",IF(Z61&lt;0.5,"",IF(AB61-AA61&lt;$N$9,"PARTIAL","NOT")))))</f>
      </c>
      <c r="AF61" s="12">
        <f>IF(Z61="",0,$N$9-AC61-AC52-AC43-AC34-AC25-AC16-AC7)</f>
        <v>0</v>
      </c>
      <c r="AG61" s="7" t="s">
        <v>49</v>
      </c>
      <c r="AH61" s="12">
        <f>IF(AC61=0,"",IF(AI60="",$J$34,IF(AJ60="",AH60-AI60,"")))</f>
      </c>
      <c r="AI61" s="12">
        <f>IF(AH61="","",IF(AC61&gt;=AH61,AH61,AC61))</f>
      </c>
      <c r="AJ61" s="65">
        <f>IF(AH61="","",IF(ROUND(AI61-AH61,0)=0,AA61+AI61*V9,IF(AI61=AC61,"",AA61+AI61*V9)))</f>
      </c>
      <c r="AK61" s="7" t="s">
        <v>49</v>
      </c>
      <c r="AL61" s="12">
        <f>IF(AC61=0,"",IF(AM60="",$J$35,IF(AN60="",AL60-AM60,"")))</f>
      </c>
      <c r="AM61" s="12">
        <f>IF(AL61="","",IF(AC61&gt;=AL61,AL61,AC61))</f>
      </c>
      <c r="AN61" s="65">
        <f>IF(AL61="","",IF(ROUND(AM61-AL61,0)=0,AA61+AM61*V9,IF(AM61=AC61,"",AA61+AM61*V9)))</f>
      </c>
      <c r="AO61" s="7" t="s">
        <v>49</v>
      </c>
      <c r="AU61" s="1" t="s">
        <v>210</v>
      </c>
    </row>
    <row r="62" spans="24:47" ht="12.75">
      <c r="X62" s="7"/>
      <c r="Y62" s="7">
        <v>3</v>
      </c>
      <c r="Z62" s="12">
        <f>IF(AF53=0,"",IF(Z61="",$L$17,ABS(Z61-AC61)))</f>
      </c>
      <c r="AA62" s="65">
        <f>IF(Z62&lt;0.5,0,IF(Z62="",0,IF(AB53=0,$J$10,AB53)))</f>
        <v>0</v>
      </c>
      <c r="AB62" s="65">
        <f>IF(Z62="",0,IF(Z62&lt;0.5,0,IF(Z62&lt;=AF53,AA62+Z62*V10,$L$10)))</f>
        <v>0</v>
      </c>
      <c r="AC62" s="12">
        <f t="shared" si="45"/>
        <v>0</v>
      </c>
      <c r="AD62">
        <f>IF($N$10=0,"",IF(Z62="","",IF(ROUND(AC62-$N$10,0)=0,"LOT 7",IF(Z62&lt;0.5,"",IF(AC62&lt;$N$10,"PARTIAL","NOT")))))</f>
      </c>
      <c r="AF62" s="12">
        <f>IF(Z62="",0,$N$10-AC62-AC53-AC44-AC35-AC26-AC17-AC8)</f>
        <v>0</v>
      </c>
      <c r="AG62" s="7" t="s">
        <v>54</v>
      </c>
      <c r="AH62" s="12">
        <f>IF(AC62=0,"",IF(AND(AI60="",AI61=""),$J$34,IF(AND(AJ60="",AJ61=""),AH61-AI61,"")))</f>
      </c>
      <c r="AI62" s="12">
        <f>IF(AH62="","",IF(AC62&gt;=AH62,AH62,AC62))</f>
      </c>
      <c r="AJ62" s="65">
        <f>IF(AH62="","",IF(ROUND(AI62-AH62,0)=0,AA62+AI62*V10,IF(AI62=AC62,"",AA62+AI62*V10)))</f>
      </c>
      <c r="AK62" s="7" t="s">
        <v>54</v>
      </c>
      <c r="AL62" s="12">
        <f>IF(AC62=0,"",IF(AND(AM60="",AM61=""),$J$35,IF(AND(AN60="",AN61=""),AL61-AM61,"")))</f>
      </c>
      <c r="AM62" s="12">
        <f>IF(AL62="","",IF(AC62&gt;=AL62,AL62,AC62))</f>
      </c>
      <c r="AN62" s="65">
        <f>IF(AL62="","",IF(ROUND(AM62-AL62,0)=0,AA62+AM62*V10,IF(AM62=AC62,"",AA62+AM62*V10)))</f>
      </c>
      <c r="AO62" s="7" t="s">
        <v>54</v>
      </c>
      <c r="AU62" s="1" t="s">
        <v>211</v>
      </c>
    </row>
    <row r="63" spans="24:47" ht="12.75">
      <c r="X63" s="7"/>
      <c r="Y63" s="7">
        <v>4</v>
      </c>
      <c r="Z63" s="12">
        <f>IF(AF54=0,"",IF(Z62="",$L$17,ABS(Z62-AC62)))</f>
      </c>
      <c r="AA63" s="65">
        <f>IF(Z63&lt;0.5,0,IF(Z63="",0,IF(AB54=0,$J$11,AB54)))</f>
        <v>0</v>
      </c>
      <c r="AB63" s="65">
        <f>IF(Z63="",0,IF(Z63&lt;0.5,0,IF(Z63&lt;=AF54,AA63+Z63*V11,$L$11)))</f>
        <v>0</v>
      </c>
      <c r="AC63" s="12">
        <f t="shared" si="45"/>
        <v>0</v>
      </c>
      <c r="AD63">
        <f>IF($N$11=0,"",IF(Z63="","",IF(ROUND(AC63-$N$11,0)=0,"LOT 7",IF(Z63&lt;0.5,"",IF(AB63-AA63&lt;$N$11,"PARTIAL","NOT")))))</f>
      </c>
      <c r="AF63" s="12">
        <f>IF(Z63="",0,$N$11-AC63-AC54-AC45-AC36-AC27-AC18-AC9)</f>
        <v>0</v>
      </c>
      <c r="AG63" s="7" t="s">
        <v>56</v>
      </c>
      <c r="AH63" s="12">
        <f>IF(AC63=0,"",IF(AND(AI60="",AI61="",AI62=""),$J$34,IF(AND(AJ60="",AJ61="",AJ62=""),AH62-AI62,"")))</f>
      </c>
      <c r="AI63" s="12">
        <f>IF(AH63="","",IF(AC63&gt;=AH63,AH63,AC63))</f>
      </c>
      <c r="AJ63" s="65">
        <f>IF(AH63="","",IF(ROUND(AI63-AH63,0)=0,AA63+AI63*V11,IF(AI63=AC63,"",AA63+AI63*V11)))</f>
      </c>
      <c r="AK63" s="7" t="s">
        <v>56</v>
      </c>
      <c r="AL63" s="12">
        <f>IF(AC63=0,"",IF(AND(AM60="",AM61="",AM62=""),$J$35,IF(AND(AN60="",AN61="",AN62=""),AL62-AM62,"")))</f>
      </c>
      <c r="AM63" s="12">
        <f>IF(AL63="","",IF(AC63&gt;=AL63,AL63,AC63))</f>
      </c>
      <c r="AN63" s="65">
        <f>IF(AL63="","",IF(ROUND(AM63-AL63,0)=0,AA63+AM63*V11,IF(AM63=AC63,"",AA63+AM63*V11)))</f>
      </c>
      <c r="AO63" s="7" t="s">
        <v>56</v>
      </c>
      <c r="AU63" s="1" t="s">
        <v>212</v>
      </c>
    </row>
    <row r="64" spans="24:47" ht="12.75">
      <c r="X64" s="7"/>
      <c r="Y64" s="7">
        <v>5</v>
      </c>
      <c r="Z64" s="12">
        <f>IF(AF55=0,"",IF(Z63="",$L$17,ABS(Z63-AC63)))</f>
      </c>
      <c r="AA64" s="65">
        <f>IF(Z64&lt;0.5,0,IF(Z64="",0,IF(AB55=0,$J$12,AB55)))</f>
        <v>0</v>
      </c>
      <c r="AB64" s="65">
        <f>IF(Z64="",0,IF(Z64&lt;0.5,0,IF(Z64&lt;=AF55,AA64+Z64*V12,$L$12)))</f>
        <v>0</v>
      </c>
      <c r="AC64" s="12">
        <f t="shared" si="45"/>
        <v>0</v>
      </c>
      <c r="AD64">
        <f>IF($N$12=0,"",IF(Z64="","",IF(ROUND(AC64-$N$12,0)=0,"LOT 7",IF(Z64&lt;0.5,"",IF(AB64-AA64&lt;$N$12,"PARTIAL","NOT")))))</f>
      </c>
      <c r="AF64" s="12">
        <f>IF(Z64="",0,$N$12-AC64-AC55-AC46-AC37-AC28-AC19-AC10)</f>
        <v>0</v>
      </c>
      <c r="AG64" s="7" t="s">
        <v>58</v>
      </c>
      <c r="AH64" s="12">
        <f>IF(AC64=0,"",IF(AND(AI60="",AI61="",AI62="",AI63=""),$J$34,IF(AND(AJ60="",AJ61="",AJ62="",AJ63=""),AH63-AI63,"")))</f>
      </c>
      <c r="AI64" s="12">
        <f>IF(AH64="","",IF(AC64&gt;=AH64,AH64,AC64))</f>
      </c>
      <c r="AJ64" s="65">
        <f>IF(AH64="","",IF(ROUND(AI64-AH64,0)=0,AA64+AI64*V12,IF(AI64=AC64,"",AA64+AI64*V12)))</f>
      </c>
      <c r="AK64" s="7" t="s">
        <v>58</v>
      </c>
      <c r="AL64" s="12">
        <f>IF(AC64=0,"",IF(AND(AM60="",AM61="",AM62="",AM63=""),$J$35,IF(AND(AN60="",AN61="",AN62="",AN63=""),AL63-AM63,"")))</f>
      </c>
      <c r="AM64" s="12">
        <f>IF(AL64="","",IF(AC64&gt;=AL64,AL64,AC64))</f>
      </c>
      <c r="AN64" s="65">
        <f>IF(AL64="","",IF(ROUND(AM64-AL64,0)=0,AA64+AM64*V12,IF(AM64=AC64,"",AA64+AM64*V12)))</f>
      </c>
      <c r="AO64" s="7" t="s">
        <v>58</v>
      </c>
      <c r="AU64" s="1" t="s">
        <v>213</v>
      </c>
    </row>
    <row r="65" spans="24:47" ht="12.75">
      <c r="X65" s="7"/>
      <c r="Y65" s="7">
        <v>6</v>
      </c>
      <c r="Z65" s="12">
        <f>IF(ROUND(AF56,0)=0,"",IF(Z64="",$L$17,ABS(Z64-AC64)))</f>
      </c>
      <c r="AA65" s="65">
        <f>IF(Z65&lt;0.5,0,IF(Z65="",0,IF(AB56=0,$J$13,AB56)))</f>
        <v>0</v>
      </c>
      <c r="AB65" s="65">
        <f>IF(Z65="",0,IF(Z65&lt;0.5,0,IF(Z65&lt;=AF56,AA65+Z65*V13,$L$13)))</f>
        <v>0</v>
      </c>
      <c r="AC65" s="12">
        <f t="shared" si="45"/>
        <v>0</v>
      </c>
      <c r="AD65">
        <f>IF($N$13=0,"",IF(Z65="","",IF(ROUND(AC65-$N$13,0)=0,"LOT 7",IF(Z65&lt;0.5,"",IF(AB65-AA65&lt;$N$13,"PARTIAL","NOT")))))</f>
      </c>
      <c r="AF65" s="12">
        <f>IF(Z65="",0,$N$13-AC65-AC56-AC47-AC38-AC29-AC20-AC11)</f>
        <v>0</v>
      </c>
      <c r="AG65" s="7" t="s">
        <v>61</v>
      </c>
      <c r="AH65" s="12">
        <f>IF(AC65=0,"",IF(AND(AI60="",AI61="",AI62="",AI63="",AI64=""),$J$34,IF(AND(AJ60="",AJ61="",AJ62="",AJ63="",AJ64=""),AH64-AI64,"")))</f>
      </c>
      <c r="AI65" s="12">
        <f>IF(AH65="","",IF(AC65&gt;=AH65,AH65,AC65))</f>
      </c>
      <c r="AJ65" s="65">
        <f>IF(AH65="","",IF(ROUND(AI65-AH65,0)=0,AA65+AI65*V13,IF(AI65=AC65,"",AA65+AI65*V13)))</f>
      </c>
      <c r="AK65" s="7" t="s">
        <v>61</v>
      </c>
      <c r="AL65" s="12">
        <f>IF(AC65=0,"",IF(AND(AM60="",AM61="",AM62="",AM63="",AM64=""),$J$35,IF(AND(AN60="",AN61="",AN62="",AN63="",AN64=""),AL64-AM64,"")))</f>
      </c>
      <c r="AM65" s="12">
        <f>IF(AL65="","",IF(AC65&gt;=AL65,AL65,AC65))</f>
      </c>
      <c r="AN65" s="65">
        <f>IF(AL65="","",IF(ROUND(AM65-AL65,0)=0,AA65+AM65*V13,IF(AM65=AC65,"",AA65+AM65*V13)))</f>
      </c>
      <c r="AO65" s="7" t="s">
        <v>61</v>
      </c>
      <c r="AU65" s="1" t="s">
        <v>214</v>
      </c>
    </row>
    <row r="66" spans="24:47" ht="12.75">
      <c r="X66" s="7"/>
      <c r="Y66" s="7"/>
      <c r="AU66" s="174" t="s">
        <v>224</v>
      </c>
    </row>
    <row r="67" ht="12.75">
      <c r="AU67" s="1" t="s">
        <v>223</v>
      </c>
    </row>
    <row r="68" ht="12.75">
      <c r="AU68" s="1" t="s">
        <v>225</v>
      </c>
    </row>
    <row r="69" ht="12.75">
      <c r="AU69" s="1" t="s">
        <v>226</v>
      </c>
    </row>
    <row r="70" ht="12.75">
      <c r="AU70" s="1" t="s">
        <v>227</v>
      </c>
    </row>
    <row r="71" ht="12.75">
      <c r="AU71" s="1" t="s">
        <v>228</v>
      </c>
    </row>
    <row r="72" ht="12.75">
      <c r="AU72" s="1" t="s">
        <v>229</v>
      </c>
    </row>
    <row r="73" ht="12.75">
      <c r="AU73" s="1" t="s">
        <v>201</v>
      </c>
    </row>
    <row r="74" ht="12.75">
      <c r="AU74" s="1" t="s">
        <v>202</v>
      </c>
    </row>
    <row r="75" ht="12.75">
      <c r="AU75" s="1" t="s">
        <v>203</v>
      </c>
    </row>
    <row r="76" ht="12.75">
      <c r="AU76" s="1" t="s">
        <v>204</v>
      </c>
    </row>
    <row r="77" ht="12.75">
      <c r="AU77" s="1" t="s">
        <v>205</v>
      </c>
    </row>
    <row r="78" ht="12.75">
      <c r="AU78" s="1" t="s">
        <v>206</v>
      </c>
    </row>
    <row r="79" ht="12.75">
      <c r="AU79" s="1" t="s">
        <v>207</v>
      </c>
    </row>
  </sheetData>
  <sheetProtection password="D86C" sheet="1" objects="1" scenarios="1"/>
  <mergeCells count="47">
    <mergeCell ref="F14:G14"/>
    <mergeCell ref="H14:I14"/>
    <mergeCell ref="D15:E15"/>
    <mergeCell ref="F15:G15"/>
    <mergeCell ref="H15:I15"/>
    <mergeCell ref="E6:G6"/>
    <mergeCell ref="D40:E40"/>
    <mergeCell ref="D41:E41"/>
    <mergeCell ref="D42:E42"/>
    <mergeCell ref="D7:E7"/>
    <mergeCell ref="D8:E8"/>
    <mergeCell ref="D9:E9"/>
    <mergeCell ref="D10:E10"/>
    <mergeCell ref="D11:E11"/>
    <mergeCell ref="D12:E12"/>
    <mergeCell ref="D13:E13"/>
    <mergeCell ref="D36:E36"/>
    <mergeCell ref="D37:E37"/>
    <mergeCell ref="D38:E38"/>
    <mergeCell ref="D14:E14"/>
    <mergeCell ref="D39:E39"/>
    <mergeCell ref="AH1:AJ2"/>
    <mergeCell ref="AL2:AN2"/>
    <mergeCell ref="J6:K6"/>
    <mergeCell ref="M5:N5"/>
    <mergeCell ref="H5:I5"/>
    <mergeCell ref="J5:K5"/>
    <mergeCell ref="H6:I6"/>
    <mergeCell ref="E5:G5"/>
    <mergeCell ref="H8:I8"/>
    <mergeCell ref="H9:I9"/>
    <mergeCell ref="H16:I16"/>
    <mergeCell ref="H17:I17"/>
    <mergeCell ref="H10:I10"/>
    <mergeCell ref="H11:I11"/>
    <mergeCell ref="H12:I12"/>
    <mergeCell ref="H13:I13"/>
    <mergeCell ref="L42:M43"/>
    <mergeCell ref="K42:K43"/>
    <mergeCell ref="I2:L2"/>
    <mergeCell ref="F11:G11"/>
    <mergeCell ref="F12:G12"/>
    <mergeCell ref="F13:G13"/>
    <mergeCell ref="F7:G7"/>
    <mergeCell ref="F8:G8"/>
    <mergeCell ref="F9:G9"/>
    <mergeCell ref="F10:G10"/>
  </mergeCells>
  <dataValidations count="2">
    <dataValidation type="list" allowBlank="1" showInputMessage="1" showErrorMessage="1" sqref="P13:P15">
      <formula1>$AS$8:$AS$17</formula1>
    </dataValidation>
    <dataValidation type="list" allowBlank="1" showInputMessage="1" showErrorMessage="1" sqref="P17">
      <formula1>$AU$8:$AU$79</formula1>
    </dataValidation>
  </dataValidations>
  <printOptions horizontalCentered="1" verticalCentered="1"/>
  <pageMargins left="0.17" right="0.17" top="0.25" bottom="0.25" header="0" footer="0"/>
  <pageSetup blackAndWhite="1" fitToHeight="1" fitToWidth="1" horizontalDpi="300" verticalDpi="300" orientation="landscape" scale="83" r:id="rId2"/>
  <colBreaks count="1" manualBreakCount="1">
    <brk id="16"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Bituminous Office</dc:creator>
  <cp:keywords/>
  <dc:description/>
  <cp:lastModifiedBy>John2Gre</cp:lastModifiedBy>
  <cp:lastPrinted>2008-04-10T15:15:30Z</cp:lastPrinted>
  <dcterms:created xsi:type="dcterms:W3CDTF">1997-12-29T18:30:57Z</dcterms:created>
  <dcterms:modified xsi:type="dcterms:W3CDTF">2008-04-10T15:17:21Z</dcterms:modified>
  <cp:category/>
  <cp:version/>
  <cp:contentType/>
  <cp:contentStatus/>
</cp:coreProperties>
</file>